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alphametricsuk.sharepoint.com/sites/AMteams/Shared Documents/General/YG &amp; LTU/1. YG/YG 2026/Data collection/Validation/EE/"/>
    </mc:Choice>
  </mc:AlternateContent>
  <xr:revisionPtr revIDLastSave="420" documentId="8_{9D515599-03A9-459D-97C8-AF66BC3403B9}" xr6:coauthVersionLast="47" xr6:coauthVersionMax="47" xr10:uidLastSave="{3F2564D6-2D94-4141-ADCC-B24499341307}"/>
  <bookViews>
    <workbookView xWindow="-110" yWindow="-110" windowWidth="19420" windowHeight="10300" tabRatio="688" firstSheet="2" activeTab="2" xr2:uid="{00000000-000D-0000-FFFF-FFFF00000000}"/>
  </bookViews>
  <sheets>
    <sheet name="Intro" sheetId="1" r:id="rId1"/>
    <sheet name="Definitions" sheetId="3" r:id="rId2"/>
    <sheet name="Metadata" sheetId="13" r:id="rId3"/>
    <sheet name="Entrants 2024" sheetId="25" r:id="rId4"/>
    <sheet name="Stocks 2024 EY estimated" sheetId="26" r:id="rId5"/>
    <sheet name="Exits 2024" sheetId="10" r:id="rId6"/>
    <sheet name="Entrants" sheetId="11" r:id="rId7"/>
    <sheet name="Stocks" sheetId="2" r:id="rId8"/>
    <sheet name="Exits" sheetId="24" r:id="rId9"/>
    <sheet name="Follow-up T" sheetId="14" r:id="rId10"/>
    <sheet name="Follow-up T-1" sheetId="19" r:id="rId11"/>
    <sheet name="Follow-up T-2" sheetId="21" r:id="rId12"/>
    <sheet name="Indicators" sheetId="15" r:id="rId13"/>
    <sheet name="Metadata T" sheetId="22" state="hidden" r:id="rId14"/>
    <sheet name="Metadata T-1" sheetId="23" state="hidden" r:id="rId15"/>
    <sheet name="Refs" sheetId="12" state="hidden" r:id="rId16"/>
  </sheets>
  <externalReferences>
    <externalReference r:id="rId17"/>
  </externalReferences>
  <definedNames>
    <definedName name="_xlnm._FilterDatabase" localSheetId="14" hidden="1">'Metadata T-1'!$A$1:$AD$27</definedName>
    <definedName name="Age15_19">3</definedName>
    <definedName name="Age15_29">2</definedName>
    <definedName name="Age20_24">4</definedName>
    <definedName name="Age25_29">5</definedName>
    <definedName name="Countries">Refs!$C$2:$C$30</definedName>
    <definedName name="Entrants_Men" localSheetId="3">'Entrants 2024'!$B$16:$I$20</definedName>
    <definedName name="Entrants_Men">Entrants!$B$16:$I$20</definedName>
    <definedName name="Entrants_Tot" localSheetId="3">'Entrants 2024'!$B$11:$I$15</definedName>
    <definedName name="Entrants_Tot">Entrants!$B$11:$I$15</definedName>
    <definedName name="Entrants_Women" localSheetId="3">'Entrants 2024'!$B$21:$I$25</definedName>
    <definedName name="Entrants_Women">Entrants!$B$21:$I$25</definedName>
    <definedName name="Exits_4m_Men" localSheetId="8">Exits!$B$34:$N$38</definedName>
    <definedName name="Exits_4m_Men">'Exits 2024'!$B$34:$N$38</definedName>
    <definedName name="Exits_4m_Tot" localSheetId="8">Exits!$B$29:$N$33</definedName>
    <definedName name="Exits_4m_Tot">'Exits 2024'!$B$29:$N$33</definedName>
    <definedName name="Exits_4m_Women" localSheetId="8">Exits!$B$39:$N$43</definedName>
    <definedName name="Exits_4m_Women">'Exits 2024'!$B$39:$N$43</definedName>
    <definedName name="Exits_Tot_Men" localSheetId="8">Exits!$B$17:$N$21</definedName>
    <definedName name="Exits_Tot_Men">'Exits 2024'!$B$17:$N$21</definedName>
    <definedName name="Exits_Tot_Tot" localSheetId="8">Exits!$B$12:$N$16</definedName>
    <definedName name="Exits_Tot_Tot">'Exits 2024'!$B$12:$N$16</definedName>
    <definedName name="Exits_Tot_Women" localSheetId="8">Exits!$B$22:$N$26</definedName>
    <definedName name="Exits_Tot_Women">'Exits 2024'!$B$22:$N$26</definedName>
    <definedName name="FUT_12_Appr_Men">'Follow-up T'!$AL$40:$AU$44</definedName>
    <definedName name="FUT_12_Appr_Tot">'Follow-up T'!$AL$35:$AU$39</definedName>
    <definedName name="FUT_12_Appr_Women">'Follow-up T'!$AL$45:$AU$49</definedName>
    <definedName name="FUT_12_Educ_Men">'Follow-up T'!$Z$40:$AI$44</definedName>
    <definedName name="FUT_12_Educ_Tot">'Follow-up T'!$Z$35:$AI$39</definedName>
    <definedName name="FUT_12_Educ_Women">'Follow-up T'!$Z$45:$AI$49</definedName>
    <definedName name="FUT_12_Emp_Men">'Follow-up T'!$N$40:$W$44</definedName>
    <definedName name="FUT_12_Emp_Tot">'Follow-up T'!$N$35:$W$39</definedName>
    <definedName name="FUT_12_Emp_Women">'Follow-up T'!$N$45:$W$49</definedName>
    <definedName name="FUT_12_Tot_Men">'Follow-up T'!$B$40:$K$44</definedName>
    <definedName name="FUT_12_Tot_Tot">'Follow-up T'!$B$35:$K$39</definedName>
    <definedName name="FUT_12_Tot_Women">'Follow-up T'!$B$45:$K$49</definedName>
    <definedName name="FUT_12_Train_Men">'Follow-up T'!$AX$40:$BG$44</definedName>
    <definedName name="FUT_12_Train_Tot">'Follow-up T'!$AX$35:$BG$39</definedName>
    <definedName name="FUT_12_Train_Women">'Follow-up T'!$AX$45:$BG$49</definedName>
    <definedName name="FUT_18_Appr_Men">'Follow-up T'!$AL$57:$AU$61</definedName>
    <definedName name="FUT_18_Appr_Tot">'Follow-up T'!$AL$52:$AU$56</definedName>
    <definedName name="FUT_18_Appr_Women">'Follow-up T'!$AL$62:$AU$66</definedName>
    <definedName name="FUT_18_Educ_Men">'Follow-up T'!$Z$57:$AI$61</definedName>
    <definedName name="FUT_18_Educ_Tot">'Follow-up T'!$Z$52:$AI$56</definedName>
    <definedName name="FUT_18_Educ_Women">'Follow-up T'!$Z$62:$AI$66</definedName>
    <definedName name="FUT_18_Emp_Men">'Follow-up T'!$N$57:$W$61</definedName>
    <definedName name="FUT_18_Emp_Tot">'Follow-up T'!$N$52:$W$56</definedName>
    <definedName name="FUT_18_Emp_Women">'Follow-up T'!$N$62:$W$66</definedName>
    <definedName name="FUT_18_Tot_Men">'Follow-up T'!$B$57:$K$61</definedName>
    <definedName name="FUT_18_Tot_Tot">'Follow-up T'!$B$52:$K$56</definedName>
    <definedName name="FUT_18_Tot_Women">'Follow-up T'!$B$62:$K$66</definedName>
    <definedName name="FUT_18_Train_Men">'Follow-up T'!$AX$57:$BG$61</definedName>
    <definedName name="FUT_18_Train_Tot">'Follow-up T'!$AX$52:$BG$56</definedName>
    <definedName name="FUT_18_Train_Women">'Follow-up T'!$AX$62:$BG$66</definedName>
    <definedName name="FUT_6_Appr_Men">'Follow-up T'!$AL$23:$AU$27</definedName>
    <definedName name="FUT_6_Appr_Tot">'Follow-up T'!$AL$18:$AU$22</definedName>
    <definedName name="FUT_6_Appr_Women">'Follow-up T'!$AL$28:$AU$32</definedName>
    <definedName name="FUT_6_Educ_Men">'Follow-up T'!$Z$23:$AI$27</definedName>
    <definedName name="FUT_6_Educ_Tot">'Follow-up T'!$Z$18:$AI$22</definedName>
    <definedName name="FUT_6_Educ_Women">'Follow-up T'!$Z$28:$AI$32</definedName>
    <definedName name="FUT_6_Emp_Men">'Follow-up T'!$N$23:$W$27</definedName>
    <definedName name="FUT_6_Emp_Tot">'Follow-up T'!$N$18:$W$22</definedName>
    <definedName name="FUT_6_Emp_Women">'Follow-up T'!$N$28:$W$32</definedName>
    <definedName name="FUT_6_Tot_Men">'Follow-up T'!$B$23:$K$27</definedName>
    <definedName name="FUT_6_Tot_Tot">'Follow-up T'!$B$18:$K$22</definedName>
    <definedName name="FUT_6_Tot_Women">'Follow-up T'!$B$28:$K$32</definedName>
    <definedName name="FUT_6_Train_Men">'Follow-up T'!$AX$23:$BG$27</definedName>
    <definedName name="FUT_6_Train_Tot">'Follow-up T'!$AX$18:$BG$22</definedName>
    <definedName name="FUT_6_Train_Women">'Follow-up T'!$AX$28:$BG$32</definedName>
    <definedName name="FUT1_12_Appr_Men">'Follow-up T-1'!$AL$40:$AU$44</definedName>
    <definedName name="FUT1_12_Appr_Tot">'Follow-up T-1'!$AL$35:$AU$39</definedName>
    <definedName name="FUT1_12_Appr_Women">'Follow-up T-1'!$AL$45:$AU$49</definedName>
    <definedName name="FUT1_12_Educ_Men">'Follow-up T-1'!$Z$40:$AI$44</definedName>
    <definedName name="FUT1_12_Educ_Tot">'Follow-up T-1'!$Z$35:$AI$39</definedName>
    <definedName name="FUT1_12_Educ_Women">'Follow-up T-1'!$Z$45:$AI$49</definedName>
    <definedName name="FUT1_12_Emp_Men">'Follow-up T-1'!$N$40:$W$44</definedName>
    <definedName name="FUT1_12_Emp_Tot">'Follow-up T-1'!$N$35:$W$39</definedName>
    <definedName name="FUT1_12_Emp_Women">'Follow-up T-1'!$N$45:$W$49</definedName>
    <definedName name="FUT1_12_Tot_Men">'Follow-up T-1'!$B$40:$K$44</definedName>
    <definedName name="FUT1_12_Tot_Tot">'Follow-up T-1'!$B$35:$K$39</definedName>
    <definedName name="FUT1_12_Tot_Women">'Follow-up T-1'!$B$45:$K$49</definedName>
    <definedName name="FUT1_12_Train_Men">'Follow-up T-1'!$AX$40:$BG$44</definedName>
    <definedName name="FUT1_12_Train_Tot">'Follow-up T-1'!$AX$35:$BG$39</definedName>
    <definedName name="FUT1_12_Train_Women">'Follow-up T-1'!$AX$45:$BG$49</definedName>
    <definedName name="FUT1_18_Appr_Men">'Follow-up T-1'!$AL$57:$AU$61</definedName>
    <definedName name="FUT1_18_Appr_Tot">'Follow-up T-1'!$AL$52:$AU$56</definedName>
    <definedName name="FUT1_18_Appr_Women">'Follow-up T-1'!$AL$62:$AU$66</definedName>
    <definedName name="FUT1_18_Educ_Men">'Follow-up T-1'!$Z$57:$AI$61</definedName>
    <definedName name="FUT1_18_Educ_Tot">'Follow-up T-1'!$Z$52:$AI$56</definedName>
    <definedName name="FUT1_18_Educ_Women">'Follow-up T-1'!$Z$62:$AI$66</definedName>
    <definedName name="FUT1_18_Emp_Men">'Follow-up T-1'!$N$57:$W$61</definedName>
    <definedName name="FUT1_18_Emp_Tot">'Follow-up T-1'!$N$52:$W$56</definedName>
    <definedName name="FUT1_18_Emp_Women">'Follow-up T-1'!$N$62:$W$66</definedName>
    <definedName name="FUT1_18_Tot_Men">'Follow-up T-1'!$B$57:$K$61</definedName>
    <definedName name="FUT1_18_Tot_Tot">'Follow-up T-1'!$B$52:$K$56</definedName>
    <definedName name="FUT1_18_Tot_Women">'Follow-up T-1'!$B$62:$K$66</definedName>
    <definedName name="FUT1_18_Train_Men">'Follow-up T-1'!$AX$57:$BG$61</definedName>
    <definedName name="FUT1_18_Train_Tot">'Follow-up T-1'!$AX$52:$BG$56</definedName>
    <definedName name="FUT1_18_Train_Women">'Follow-up T-1'!$AX$62:$BG$66</definedName>
    <definedName name="FUT1_6_Appr_Men">'Follow-up T-1'!$AL$23:$AU$27</definedName>
    <definedName name="FUT1_6_Appr_Tot">'Follow-up T-1'!$AL$18:$AU$22</definedName>
    <definedName name="FUT1_6_Appr_Women">'Follow-up T-1'!$AL$28:$AU$32</definedName>
    <definedName name="FUT1_6_Educ_Men">'Follow-up T-1'!$Z$23:$AI$27</definedName>
    <definedName name="FUT1_6_Educ_Tot">'Follow-up T-1'!$Z$18:$AI$22</definedName>
    <definedName name="FUT1_6_Educ_Women">'Follow-up T-1'!$Z$28:$AI$32</definedName>
    <definedName name="FUT1_6_Emp_Men">'Follow-up T-1'!$N$23:$W$27</definedName>
    <definedName name="FUT1_6_Emp_Tot">'Follow-up T-1'!$N$18:$W$22</definedName>
    <definedName name="FUT1_6_Emp_Women">'Follow-up T-1'!$N$28:$W$32</definedName>
    <definedName name="FUT1_6_Tot_Men">'Follow-up T-1'!$B$23:$K$27</definedName>
    <definedName name="FUT1_6_Tot_Tot">'Follow-up T-1'!$B$18:$K$22</definedName>
    <definedName name="FUT1_6_Tot_Women">'Follow-up T-1'!$B$28:$K$32</definedName>
    <definedName name="FUT1_6_Train_Men">'Follow-up T-1'!$AX$23:$BG$27</definedName>
    <definedName name="FUT1_6_Train_Tot">'Follow-up T-1'!$AX$18:$BG$22</definedName>
    <definedName name="FUT1_6_Train_Women">'Follow-up T-1'!$AX$28:$BG$32</definedName>
    <definedName name="FUT2_12_Appr_Men">'Follow-up T-2'!$AL$40:$AU$44</definedName>
    <definedName name="FUT2_12_Appr_Tot">'Follow-up T-2'!$AL$35:$AU$39</definedName>
    <definedName name="FUT2_12_Appr_Women">'Follow-up T-2'!$AL$45:$AU$49</definedName>
    <definedName name="FUT2_12_Educ_Men">'Follow-up T-2'!$Z$40:$AI$44</definedName>
    <definedName name="FUT2_12_Educ_Tot">'Follow-up T-2'!$Z$35:$AI$39</definedName>
    <definedName name="FUT2_12_Educ_Women">'Follow-up T-2'!$Z$45:$AI$49</definedName>
    <definedName name="FUT2_12_Emp_Men">'Follow-up T-2'!$N$40:$W$44</definedName>
    <definedName name="FUT2_12_Emp_Tot">'Follow-up T-2'!$N$35:$W$39</definedName>
    <definedName name="FUT2_12_Emp_Women">'Follow-up T-2'!$N$45:$W$49</definedName>
    <definedName name="FUT2_12_Tot_Men">'Follow-up T-2'!$B$40:$K$44</definedName>
    <definedName name="FUT2_12_Tot_Tot">'Follow-up T-2'!$B$35:$K$39</definedName>
    <definedName name="FUT2_12_Tot_Women">'Follow-up T-2'!$B$45:$K$49</definedName>
    <definedName name="FUT2_12_Train_Men">'Follow-up T-2'!$AX$40:$BG$44</definedName>
    <definedName name="FUT2_12_Train_Tot">'Follow-up T-2'!$AX$35:$BG$39</definedName>
    <definedName name="FUT2_12_Train_Women">'Follow-up T-2'!$AX$45:$BG$49</definedName>
    <definedName name="FUT2_18_Appr_Men">'Follow-up T-2'!$AL$57:$AU$61</definedName>
    <definedName name="FUT2_18_Appr_Tot">'Follow-up T-2'!$AL$52:$AU$56</definedName>
    <definedName name="FUT2_18_Appr_Women">'Follow-up T-2'!$AL$62:$AU$66</definedName>
    <definedName name="FUT2_18_Educ_Men">'Follow-up T-2'!$Z$57:$AI$61</definedName>
    <definedName name="FUT2_18_Educ_Tot">'Follow-up T-2'!$Z$52:$AI$56</definedName>
    <definedName name="FUT2_18_Educ_Women">'Follow-up T-2'!$Z$62:$AI$66</definedName>
    <definedName name="FUT2_18_Emp_Men">'Follow-up T-2'!$N$57:$W$61</definedName>
    <definedName name="FUT2_18_Emp_Tot">'Follow-up T-2'!$N$52:$W$56</definedName>
    <definedName name="FUT2_18_Emp_Women">'Follow-up T-2'!$N$62:$W$66</definedName>
    <definedName name="FUT2_18_Tot_Men">'Follow-up T-2'!$B$57:$K$61</definedName>
    <definedName name="FUT2_18_Tot_Tot">'Follow-up T-2'!$B$52:$K$56</definedName>
    <definedName name="FUT2_18_Tot_Women">'Follow-up T-2'!$B$62:$K$66</definedName>
    <definedName name="FUT2_18_Train_Men">'Follow-up T-2'!$AX$57:$BG$61</definedName>
    <definedName name="FUT2_18_Train_Tot">'Follow-up T-2'!$AX$52:$BG$56</definedName>
    <definedName name="FUT2_18_Train_Women">'Follow-up T-2'!$AX$62:$BG$66</definedName>
    <definedName name="FUT2_6_Appr_Men">'Follow-up T-2'!$AL$23:$AU$27</definedName>
    <definedName name="FUT2_6_Appr_Tot">'Follow-up T-2'!$AL$18:$AU$22</definedName>
    <definedName name="FUT2_6_Appr_Women">'Follow-up T-2'!$AL$28:$AU$32</definedName>
    <definedName name="FUT2_6_Educ_Men">'Follow-up T-2'!$Z$23:$AI$27</definedName>
    <definedName name="FUT2_6_Educ_Tot">'Follow-up T-2'!$Z$18:$AI$22</definedName>
    <definedName name="FUT2_6_Educ_Women">'Follow-up T-2'!$Z$28:$AI$32</definedName>
    <definedName name="FUT2_6_Emp_Men">'Follow-up T-2'!$N$23:$W$27</definedName>
    <definedName name="FUT2_6_Emp_Tot">'Follow-up T-2'!$N$18:$W$22</definedName>
    <definedName name="FUT2_6_Emp_Women">'Follow-up T-2'!$N$28:$W$32</definedName>
    <definedName name="FUT2_6_Tot_Men">'Follow-up T-2'!$B$23:$K$27</definedName>
    <definedName name="FUT2_6_Tot_Tot">'Follow-up T-2'!$B$18:$K$22</definedName>
    <definedName name="FUT2_6_Tot_Women">'Follow-up T-2'!$B$28:$K$32</definedName>
    <definedName name="FUT2_6_Train_Men">'Follow-up T-2'!$AX$23:$BG$27</definedName>
    <definedName name="FUT2_6_Train_Tot">'Follow-up T-2'!$AX$18:$BG$22</definedName>
    <definedName name="FUT2_6_Train_Women">'Follow-up T-2'!$AX$28:$BG$32</definedName>
    <definedName name="Metadata_Q1">Metadata!$C$5</definedName>
    <definedName name="Metadata_Q2i">Metadata!$F$10</definedName>
    <definedName name="Metadata_Q2ii">Metadata!$F$11</definedName>
    <definedName name="Metadata_Q2iii">Metadata!$F$12</definedName>
    <definedName name="Metadata_Q3i">Metadata!$F$15</definedName>
    <definedName name="Metadata_Q3ii">Metadata!$F$16</definedName>
    <definedName name="Metadata_Q4ia">Metadata!$F$19</definedName>
    <definedName name="Metadata_Q4ib">Metadata!$G$19</definedName>
    <definedName name="Metadata_Q4ic">Metadata!$H$19</definedName>
    <definedName name="Metadata_Q4iia">Metadata!$F$20</definedName>
    <definedName name="Metadata_Q4iib">Metadata!$G$20</definedName>
    <definedName name="Metadata_Q4iic">Metadata!$H$20</definedName>
    <definedName name="Metadata_Q4iiia">Metadata!$F$21</definedName>
    <definedName name="Metadata_Q4iiib">Metadata!$G$21</definedName>
    <definedName name="Metadata_Q4iiic">Metadata!$H$21</definedName>
    <definedName name="Metadata_Q4iva">Metadata!$F$22</definedName>
    <definedName name="Metadata_Q4ivb">Metadata!$G$22</definedName>
    <definedName name="Metadata_Q4ivc">Metadata!$H$22</definedName>
    <definedName name="Metadata_Q5">Metadata!$F$25</definedName>
    <definedName name="Metadata_Q6i">Metadata!$F$29</definedName>
    <definedName name="Metadata_Q6ii">Metadata!$F$30</definedName>
    <definedName name="Metadata_Q6iii">Metadata!$F$31</definedName>
    <definedName name="Metadata_Q6iiia">Metadata!$F$32</definedName>
    <definedName name="Metadata_Q6iiib">Metadata!$F$33</definedName>
    <definedName name="Metadata_Q6iiic">Metadata!$F$34</definedName>
    <definedName name="Metadata_Q6iv">Metadata!$F$35</definedName>
    <definedName name="Metadata_Q6v">Metadata!$F$36</definedName>
    <definedName name="Metadata_Q6vi">Metadata!$F$37</definedName>
    <definedName name="Metadata_Q6via">Metadata!$F$38</definedName>
    <definedName name="Metadata_Q6vib">Metadata!$F$39</definedName>
    <definedName name="Metadata_Q6vii">Metadata!$F$40</definedName>
    <definedName name="Metadata_Q7">Metadata!$C$43</definedName>
    <definedName name="Metadata_T1">'Metadata T-1'!$A$1:$Y$28</definedName>
    <definedName name="Months">Refs!$A$2:$A$14</definedName>
    <definedName name="_xlnm.Print_Area" localSheetId="1">Definitions!$A:$N</definedName>
    <definedName name="_xlnm.Print_Area" localSheetId="12">Indicators!$A:$K</definedName>
    <definedName name="_xlnm.Print_Area" localSheetId="2">Metadata!$A:$C</definedName>
    <definedName name="_xlnm.Print_Area" localSheetId="7">Stocks!$A:$G</definedName>
    <definedName name="_xlnm.Print_Area" localSheetId="4">'Stocks 2024 EY estimated'!$A:$G</definedName>
    <definedName name="RefYear_FUT">Metadata!$F$20</definedName>
    <definedName name="RefYear_FUT_1">Metadata!$F$21</definedName>
    <definedName name="RefYear_FUT_2">Metadata!$F$22</definedName>
    <definedName name="RefYear_Main">Metadata!$F$19</definedName>
    <definedName name="SexMen">3</definedName>
    <definedName name="SexTotal">2</definedName>
    <definedName name="SexWomen">4</definedName>
    <definedName name="Stock_Men" localSheetId="4">'Stocks 2024 EY estimated'!$B$14:$G$18</definedName>
    <definedName name="Stock_Men">Stocks!$B$14:$G$18</definedName>
    <definedName name="Stock_Total" localSheetId="4">'Stocks 2024 EY estimated'!$B$9:$G$13</definedName>
    <definedName name="Stock_Total">Stocks!$B$9:$G$13</definedName>
    <definedName name="Stock_Women" localSheetId="4">'Stocks 2024 EY estimated'!$B$19:$G$23</definedName>
    <definedName name="Stock_Women">Stocks!$B$19:$G$23</definedName>
    <definedName name="Years">Refs!$D$2:$D$8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 i="10" l="1"/>
  <c r="C32" i="10"/>
  <c r="C31" i="10"/>
  <c r="C30" i="10"/>
  <c r="D22" i="2" l="1"/>
  <c r="G19" i="26"/>
  <c r="F19" i="26"/>
  <c r="D19" i="26"/>
  <c r="C19" i="26"/>
  <c r="G14" i="26"/>
  <c r="F14" i="26"/>
  <c r="E14" i="26"/>
  <c r="E19" i="26" s="1"/>
  <c r="D14" i="26"/>
  <c r="C14" i="26"/>
  <c r="D3" i="26"/>
  <c r="H10" i="25"/>
  <c r="G10" i="25"/>
  <c r="E10" i="25"/>
  <c r="D10" i="25"/>
  <c r="C10" i="25"/>
  <c r="D3" i="25"/>
  <c r="P43" i="24" a="1"/>
  <c r="P43" i="24" s="1"/>
  <c r="P42" i="24" a="1"/>
  <c r="P42" i="24" s="1"/>
  <c r="P41" i="24" a="1"/>
  <c r="P41" i="24" s="1"/>
  <c r="N40" i="24"/>
  <c r="P36" i="24" a="1"/>
  <c r="P36" i="24" s="1"/>
  <c r="N39" i="24"/>
  <c r="M39" i="24"/>
  <c r="L39" i="24"/>
  <c r="G39" i="24"/>
  <c r="F39" i="24"/>
  <c r="E39" i="24"/>
  <c r="D39" i="24"/>
  <c r="C39" i="24"/>
  <c r="P35" i="24" a="1"/>
  <c r="P35" i="24" s="1"/>
  <c r="N35" i="24"/>
  <c r="N34" i="24"/>
  <c r="M34" i="24"/>
  <c r="L34" i="24"/>
  <c r="K34" i="24"/>
  <c r="J34" i="24"/>
  <c r="G34" i="24"/>
  <c r="F34" i="24"/>
  <c r="E34" i="24"/>
  <c r="D34" i="24"/>
  <c r="C34" i="24"/>
  <c r="N29" i="24"/>
  <c r="M29" i="24"/>
  <c r="L29" i="24"/>
  <c r="K29" i="24"/>
  <c r="J29" i="24"/>
  <c r="G29" i="24"/>
  <c r="F29" i="24"/>
  <c r="E29" i="24"/>
  <c r="D29" i="24"/>
  <c r="C29" i="24"/>
  <c r="N28" i="24"/>
  <c r="M28" i="24"/>
  <c r="L28" i="24"/>
  <c r="K28" i="24"/>
  <c r="J28" i="24"/>
  <c r="I28" i="24"/>
  <c r="H28" i="24"/>
  <c r="G28" i="24"/>
  <c r="F28" i="24"/>
  <c r="E28" i="24"/>
  <c r="D28" i="24"/>
  <c r="C28" i="24"/>
  <c r="A28" i="24"/>
  <c r="P26" i="24" a="1"/>
  <c r="P26" i="24" s="1"/>
  <c r="P25" i="24" a="1"/>
  <c r="P25" i="24" s="1"/>
  <c r="P24" i="24" a="1"/>
  <c r="P24" i="24" s="1"/>
  <c r="N24" i="24"/>
  <c r="N22" i="24"/>
  <c r="M22" i="24"/>
  <c r="L22" i="24"/>
  <c r="K22" i="24"/>
  <c r="G22" i="24"/>
  <c r="F22" i="24"/>
  <c r="E22" i="24"/>
  <c r="D22" i="24"/>
  <c r="C22" i="24"/>
  <c r="P21" i="24" a="1"/>
  <c r="P21" i="24" s="1"/>
  <c r="P19" i="24" a="1"/>
  <c r="P19" i="24" s="1"/>
  <c r="N19" i="24"/>
  <c r="N18" i="24"/>
  <c r="N17" i="24"/>
  <c r="M17" i="24"/>
  <c r="L17" i="24"/>
  <c r="K17" i="24"/>
  <c r="J17" i="24"/>
  <c r="G17" i="24"/>
  <c r="F17" i="24"/>
  <c r="E17" i="24"/>
  <c r="D17" i="24"/>
  <c r="C17" i="24"/>
  <c r="C14" i="24"/>
  <c r="N14" i="24" s="1"/>
  <c r="C13" i="24"/>
  <c r="P13" i="24" s="1" a="1"/>
  <c r="P13" i="24" s="1"/>
  <c r="K12" i="24"/>
  <c r="K39" i="24" s="1"/>
  <c r="J12" i="24"/>
  <c r="J22" i="24" s="1"/>
  <c r="I12" i="24"/>
  <c r="H12" i="24"/>
  <c r="H39" i="24" s="1"/>
  <c r="E3" i="24"/>
  <c r="C26" i="10"/>
  <c r="C49" i="14" s="1"/>
  <c r="C25" i="10"/>
  <c r="C48" i="14" s="1"/>
  <c r="C24" i="10"/>
  <c r="P24" i="10" s="1" a="1"/>
  <c r="P24" i="10" s="1"/>
  <c r="C23" i="10"/>
  <c r="C29" i="14" s="1"/>
  <c r="C21" i="10"/>
  <c r="C16" i="10" s="1"/>
  <c r="C20" i="10"/>
  <c r="C15" i="10" s="1"/>
  <c r="C21" i="14" s="1"/>
  <c r="C19" i="10"/>
  <c r="C59" i="14" s="1"/>
  <c r="C18" i="10"/>
  <c r="C58" i="14" s="1"/>
  <c r="C10" i="13"/>
  <c r="C15" i="13"/>
  <c r="C33" i="13"/>
  <c r="AU53" i="21"/>
  <c r="AU42" i="21"/>
  <c r="BG31" i="21"/>
  <c r="BG25" i="21"/>
  <c r="AU31" i="21"/>
  <c r="AU59" i="19"/>
  <c r="BG54" i="21"/>
  <c r="AY57" i="21"/>
  <c r="AZ57" i="21"/>
  <c r="BA57" i="21"/>
  <c r="BB57" i="21"/>
  <c r="BC57" i="21"/>
  <c r="BD57" i="21"/>
  <c r="BE57" i="21"/>
  <c r="BF57" i="21"/>
  <c r="BG62" i="21"/>
  <c r="BF62" i="21"/>
  <c r="BE62" i="21"/>
  <c r="BD62" i="21"/>
  <c r="BC62" i="21"/>
  <c r="BB62" i="21"/>
  <c r="BA62" i="21"/>
  <c r="AZ62" i="21"/>
  <c r="AY62" i="21"/>
  <c r="AU62" i="21"/>
  <c r="AT62" i="21"/>
  <c r="AS62" i="21"/>
  <c r="AR62" i="21"/>
  <c r="AQ62" i="21"/>
  <c r="AP62" i="21"/>
  <c r="AO62" i="21"/>
  <c r="AN62" i="21"/>
  <c r="AM62" i="21"/>
  <c r="AI62" i="21"/>
  <c r="AH62" i="21"/>
  <c r="AG62" i="21"/>
  <c r="AF62" i="21"/>
  <c r="AE62" i="21"/>
  <c r="AD62" i="21"/>
  <c r="AC62" i="21"/>
  <c r="AB62" i="21"/>
  <c r="AA62" i="21"/>
  <c r="W62" i="21"/>
  <c r="V62" i="21"/>
  <c r="U62" i="21"/>
  <c r="T62" i="21"/>
  <c r="S62" i="21"/>
  <c r="R62" i="21"/>
  <c r="Q62" i="21"/>
  <c r="P62" i="21"/>
  <c r="O62" i="21"/>
  <c r="K62" i="21"/>
  <c r="J62" i="21"/>
  <c r="I62" i="21"/>
  <c r="H62" i="21"/>
  <c r="G62" i="21"/>
  <c r="F62" i="21"/>
  <c r="E62" i="21"/>
  <c r="D62" i="21"/>
  <c r="C62" i="21"/>
  <c r="BG57" i="21"/>
  <c r="AU57" i="21"/>
  <c r="AT57" i="21"/>
  <c r="AS57" i="21"/>
  <c r="AR57" i="21"/>
  <c r="AQ57" i="21"/>
  <c r="AP57" i="21"/>
  <c r="AO57" i="21"/>
  <c r="AN57" i="21"/>
  <c r="AM57" i="21"/>
  <c r="AI57" i="21"/>
  <c r="AH57" i="21"/>
  <c r="AG57" i="21"/>
  <c r="AF57" i="21"/>
  <c r="AE57" i="21"/>
  <c r="AD57" i="21"/>
  <c r="AC57" i="21"/>
  <c r="AB57" i="21"/>
  <c r="AA57" i="21"/>
  <c r="W57" i="21"/>
  <c r="V57" i="21"/>
  <c r="U57" i="21"/>
  <c r="T57" i="21"/>
  <c r="S57" i="21"/>
  <c r="R57" i="21"/>
  <c r="Q57" i="21"/>
  <c r="P57" i="21"/>
  <c r="O57" i="21"/>
  <c r="K57" i="21"/>
  <c r="J57" i="21"/>
  <c r="I57" i="21"/>
  <c r="H57" i="21"/>
  <c r="G57" i="21"/>
  <c r="F57" i="21"/>
  <c r="E57" i="21"/>
  <c r="D57" i="21"/>
  <c r="C57" i="21"/>
  <c r="BG52" i="21"/>
  <c r="BF52" i="21"/>
  <c r="BE52" i="21"/>
  <c r="BD52" i="21"/>
  <c r="BC52" i="21"/>
  <c r="BB52" i="21"/>
  <c r="BA52" i="21"/>
  <c r="AZ52" i="21"/>
  <c r="AY52" i="21"/>
  <c r="AU52" i="21"/>
  <c r="AT52" i="21"/>
  <c r="AS52" i="21"/>
  <c r="AR52" i="21"/>
  <c r="AQ52" i="21"/>
  <c r="AP52" i="21"/>
  <c r="AO52" i="21"/>
  <c r="AN52" i="21"/>
  <c r="AM52" i="21"/>
  <c r="AI52" i="21"/>
  <c r="AH52" i="21"/>
  <c r="AG52" i="21"/>
  <c r="AF52" i="21"/>
  <c r="AE52" i="21"/>
  <c r="AD52" i="21"/>
  <c r="AC52" i="21"/>
  <c r="AB52" i="21"/>
  <c r="AA52" i="21"/>
  <c r="W52" i="21"/>
  <c r="V52" i="21"/>
  <c r="U52" i="21"/>
  <c r="T52" i="21"/>
  <c r="S52" i="21"/>
  <c r="R52" i="21"/>
  <c r="Q52" i="21"/>
  <c r="P52" i="21"/>
  <c r="O52" i="21"/>
  <c r="K52" i="21"/>
  <c r="J52" i="21"/>
  <c r="I52" i="21"/>
  <c r="H52" i="21"/>
  <c r="G52" i="21"/>
  <c r="F52" i="21"/>
  <c r="E52" i="21"/>
  <c r="D52" i="21"/>
  <c r="C52" i="21"/>
  <c r="BG51" i="21"/>
  <c r="AW51" i="21"/>
  <c r="AU51" i="21"/>
  <c r="AK51" i="21"/>
  <c r="AI51" i="21"/>
  <c r="Y51" i="21"/>
  <c r="W51" i="21"/>
  <c r="M51" i="21"/>
  <c r="K51" i="21"/>
  <c r="BG45" i="21"/>
  <c r="BF45" i="21"/>
  <c r="BE45" i="21"/>
  <c r="BD45" i="21"/>
  <c r="BC45" i="21"/>
  <c r="BB45" i="21"/>
  <c r="BA45" i="21"/>
  <c r="AZ45" i="21"/>
  <c r="AY45" i="21"/>
  <c r="AU45" i="21"/>
  <c r="AT45" i="21"/>
  <c r="AS45" i="21"/>
  <c r="AR45" i="21"/>
  <c r="AQ45" i="21"/>
  <c r="AP45" i="21"/>
  <c r="AO45" i="21"/>
  <c r="AN45" i="21"/>
  <c r="AM45" i="21"/>
  <c r="AI45" i="21"/>
  <c r="AH45" i="21"/>
  <c r="AG45" i="21"/>
  <c r="AF45" i="21"/>
  <c r="AE45" i="21"/>
  <c r="AD45" i="21"/>
  <c r="AC45" i="21"/>
  <c r="AB45" i="21"/>
  <c r="AA45" i="21"/>
  <c r="W45" i="21"/>
  <c r="V45" i="21"/>
  <c r="U45" i="21"/>
  <c r="T45" i="21"/>
  <c r="S45" i="21"/>
  <c r="R45" i="21"/>
  <c r="Q45" i="21"/>
  <c r="P45" i="21"/>
  <c r="O45" i="21"/>
  <c r="K45" i="21"/>
  <c r="J45" i="21"/>
  <c r="I45" i="21"/>
  <c r="H45" i="21"/>
  <c r="G45" i="21"/>
  <c r="F45" i="21"/>
  <c r="E45" i="21"/>
  <c r="D45" i="21"/>
  <c r="C45" i="21"/>
  <c r="BG40" i="21"/>
  <c r="BF40" i="21"/>
  <c r="BE40" i="21"/>
  <c r="BD40" i="21"/>
  <c r="BC40" i="21"/>
  <c r="BB40" i="21"/>
  <c r="BA40" i="21"/>
  <c r="AZ40" i="21"/>
  <c r="AY40" i="21"/>
  <c r="AU40" i="21"/>
  <c r="AT40" i="21"/>
  <c r="AS40" i="21"/>
  <c r="AR40" i="21"/>
  <c r="AQ40" i="21"/>
  <c r="AP40" i="21"/>
  <c r="AO40" i="21"/>
  <c r="AN40" i="21"/>
  <c r="AM40" i="21"/>
  <c r="AI40" i="21"/>
  <c r="AH40" i="21"/>
  <c r="AG40" i="21"/>
  <c r="AF40" i="21"/>
  <c r="AE40" i="21"/>
  <c r="AD40" i="21"/>
  <c r="AC40" i="21"/>
  <c r="AB40" i="21"/>
  <c r="AA40" i="21"/>
  <c r="W40" i="21"/>
  <c r="V40" i="21"/>
  <c r="U40" i="21"/>
  <c r="T40" i="21"/>
  <c r="S40" i="21"/>
  <c r="R40" i="21"/>
  <c r="Q40" i="21"/>
  <c r="P40" i="21"/>
  <c r="O40" i="21"/>
  <c r="K40" i="21"/>
  <c r="J40" i="21"/>
  <c r="I40" i="21"/>
  <c r="H40" i="21"/>
  <c r="G40" i="21"/>
  <c r="F40" i="21"/>
  <c r="E40" i="21"/>
  <c r="D40" i="21"/>
  <c r="C40" i="21"/>
  <c r="BG35" i="21"/>
  <c r="BF35" i="21"/>
  <c r="BE35" i="21"/>
  <c r="BD35" i="21"/>
  <c r="BC35" i="21"/>
  <c r="BB35" i="21"/>
  <c r="BA35" i="21"/>
  <c r="AZ35" i="21"/>
  <c r="AY35" i="21"/>
  <c r="AU35" i="21"/>
  <c r="AT35" i="21"/>
  <c r="AS35" i="21"/>
  <c r="AR35" i="21"/>
  <c r="AQ35" i="21"/>
  <c r="AP35" i="21"/>
  <c r="AO35" i="21"/>
  <c r="AN35" i="21"/>
  <c r="AM35" i="21"/>
  <c r="AI35" i="21"/>
  <c r="AH35" i="21"/>
  <c r="AG35" i="21"/>
  <c r="AF35" i="21"/>
  <c r="AE35" i="21"/>
  <c r="AD35" i="21"/>
  <c r="AC35" i="21"/>
  <c r="AB35" i="21"/>
  <c r="AA35" i="21"/>
  <c r="W35" i="21"/>
  <c r="V35" i="21"/>
  <c r="U35" i="21"/>
  <c r="T35" i="21"/>
  <c r="S35" i="21"/>
  <c r="R35" i="21"/>
  <c r="Q35" i="21"/>
  <c r="P35" i="21"/>
  <c r="O35" i="21"/>
  <c r="K35" i="21"/>
  <c r="J35" i="21"/>
  <c r="I35" i="21"/>
  <c r="H35" i="21"/>
  <c r="G35" i="21"/>
  <c r="F35" i="21"/>
  <c r="E35" i="21"/>
  <c r="D35" i="21"/>
  <c r="C35" i="21"/>
  <c r="BG34" i="21"/>
  <c r="AW34" i="21"/>
  <c r="AU34" i="21"/>
  <c r="AK34" i="21"/>
  <c r="AI34" i="21"/>
  <c r="Y34" i="21"/>
  <c r="W34" i="21"/>
  <c r="M34" i="21"/>
  <c r="K34" i="21"/>
  <c r="BG28" i="21"/>
  <c r="BF28" i="21"/>
  <c r="BE28" i="21"/>
  <c r="BD28" i="21"/>
  <c r="BC28" i="21"/>
  <c r="BB28" i="21"/>
  <c r="BA28" i="21"/>
  <c r="AZ28" i="21"/>
  <c r="AY28" i="21"/>
  <c r="AU28" i="21"/>
  <c r="AT28" i="21"/>
  <c r="AS28" i="21"/>
  <c r="AR28" i="21"/>
  <c r="AQ28" i="21"/>
  <c r="AP28" i="21"/>
  <c r="AO28" i="21"/>
  <c r="AN28" i="21"/>
  <c r="AM28" i="21"/>
  <c r="AI28" i="21"/>
  <c r="AH28" i="21"/>
  <c r="AG28" i="21"/>
  <c r="AF28" i="21"/>
  <c r="AE28" i="21"/>
  <c r="AD28" i="21"/>
  <c r="AC28" i="21"/>
  <c r="AB28" i="21"/>
  <c r="AA28" i="21"/>
  <c r="W28" i="21"/>
  <c r="V28" i="21"/>
  <c r="U28" i="21"/>
  <c r="T28" i="21"/>
  <c r="S28" i="21"/>
  <c r="R28" i="21"/>
  <c r="Q28" i="21"/>
  <c r="P28" i="21"/>
  <c r="O28" i="21"/>
  <c r="K28" i="21"/>
  <c r="J28" i="21"/>
  <c r="I28" i="21"/>
  <c r="H28" i="21"/>
  <c r="G28" i="21"/>
  <c r="F28" i="21"/>
  <c r="E28" i="21"/>
  <c r="D28" i="21"/>
  <c r="C28" i="21"/>
  <c r="BG23" i="21"/>
  <c r="BF23" i="21"/>
  <c r="BE23" i="21"/>
  <c r="BD23" i="21"/>
  <c r="BC23" i="21"/>
  <c r="BB23" i="21"/>
  <c r="BA23" i="21"/>
  <c r="AZ23" i="21"/>
  <c r="AY23" i="21"/>
  <c r="AU23" i="21"/>
  <c r="AT23" i="21"/>
  <c r="AS23" i="21"/>
  <c r="AR23" i="21"/>
  <c r="AQ23" i="21"/>
  <c r="AP23" i="21"/>
  <c r="AO23" i="21"/>
  <c r="AN23" i="21"/>
  <c r="AM23" i="21"/>
  <c r="AI23" i="21"/>
  <c r="AH23" i="21"/>
  <c r="AG23" i="21"/>
  <c r="AF23" i="21"/>
  <c r="AE23" i="21"/>
  <c r="AD23" i="21"/>
  <c r="AC23" i="21"/>
  <c r="AB23" i="21"/>
  <c r="AA23" i="21"/>
  <c r="W23" i="21"/>
  <c r="V23" i="21"/>
  <c r="U23" i="21"/>
  <c r="T23" i="21"/>
  <c r="S23" i="21"/>
  <c r="R23" i="21"/>
  <c r="Q23" i="21"/>
  <c r="P23" i="21"/>
  <c r="O23" i="21"/>
  <c r="K23" i="21"/>
  <c r="J23" i="21"/>
  <c r="I23" i="21"/>
  <c r="H23" i="21"/>
  <c r="G23" i="21"/>
  <c r="F23" i="21"/>
  <c r="E23" i="21"/>
  <c r="D23" i="21"/>
  <c r="C23" i="21"/>
  <c r="BF62" i="19"/>
  <c r="BE62" i="19"/>
  <c r="BD62" i="19"/>
  <c r="BC62" i="19"/>
  <c r="BB62" i="19"/>
  <c r="BA62" i="19"/>
  <c r="AZ62" i="19"/>
  <c r="AY62" i="19"/>
  <c r="BF57" i="19"/>
  <c r="BE57" i="19"/>
  <c r="BD57" i="19"/>
  <c r="BC57" i="19"/>
  <c r="BB57" i="19"/>
  <c r="BA57" i="19"/>
  <c r="AZ57" i="19"/>
  <c r="AY57" i="19"/>
  <c r="BF52" i="19"/>
  <c r="BE52" i="19"/>
  <c r="BD52" i="19"/>
  <c r="BC52" i="19"/>
  <c r="BB52" i="19"/>
  <c r="BA52" i="19"/>
  <c r="AZ52" i="19"/>
  <c r="AY52" i="19"/>
  <c r="BF45" i="19"/>
  <c r="BE45" i="19"/>
  <c r="BD45" i="19"/>
  <c r="BC45" i="19"/>
  <c r="BB45" i="19"/>
  <c r="BA45" i="19"/>
  <c r="AZ45" i="19"/>
  <c r="AY45" i="19"/>
  <c r="BF40" i="19"/>
  <c r="BE40" i="19"/>
  <c r="BD40" i="19"/>
  <c r="BC40" i="19"/>
  <c r="BB40" i="19"/>
  <c r="BA40" i="19"/>
  <c r="AZ40" i="19"/>
  <c r="AY40" i="19"/>
  <c r="BF35" i="19"/>
  <c r="BE35" i="19"/>
  <c r="BD35" i="19"/>
  <c r="BC35" i="19"/>
  <c r="BB35" i="19"/>
  <c r="BA35" i="19"/>
  <c r="AZ35" i="19"/>
  <c r="AY35" i="19"/>
  <c r="BF28" i="19"/>
  <c r="BE28" i="19"/>
  <c r="BD28" i="19"/>
  <c r="BC28" i="19"/>
  <c r="BB28" i="19"/>
  <c r="BA28" i="19"/>
  <c r="AZ28" i="19"/>
  <c r="AY28" i="19"/>
  <c r="BF23" i="19"/>
  <c r="BE23" i="19"/>
  <c r="BD23" i="19"/>
  <c r="BC23" i="19"/>
  <c r="BB23" i="19"/>
  <c r="BA23" i="19"/>
  <c r="AZ23" i="19"/>
  <c r="AY23" i="19"/>
  <c r="AT62" i="19"/>
  <c r="AS62" i="19"/>
  <c r="AR62" i="19"/>
  <c r="AQ62" i="19"/>
  <c r="AP62" i="19"/>
  <c r="AO62" i="19"/>
  <c r="AN62" i="19"/>
  <c r="AM62" i="19"/>
  <c r="AT57" i="19"/>
  <c r="AS57" i="19"/>
  <c r="AR57" i="19"/>
  <c r="AQ57" i="19"/>
  <c r="AP57" i="19"/>
  <c r="AO57" i="19"/>
  <c r="AN57" i="19"/>
  <c r="AM57" i="19"/>
  <c r="AT52" i="19"/>
  <c r="AS52" i="19"/>
  <c r="AR52" i="19"/>
  <c r="AQ52" i="19"/>
  <c r="AP52" i="19"/>
  <c r="AO52" i="19"/>
  <c r="AN52" i="19"/>
  <c r="AM52" i="19"/>
  <c r="AT45" i="19"/>
  <c r="AS45" i="19"/>
  <c r="AR45" i="19"/>
  <c r="AQ45" i="19"/>
  <c r="AP45" i="19"/>
  <c r="AO45" i="19"/>
  <c r="AN45" i="19"/>
  <c r="AM45" i="19"/>
  <c r="AT40" i="19"/>
  <c r="AS40" i="19"/>
  <c r="AR40" i="19"/>
  <c r="AQ40" i="19"/>
  <c r="AP40" i="19"/>
  <c r="AO40" i="19"/>
  <c r="AN40" i="19"/>
  <c r="AM40" i="19"/>
  <c r="AT35" i="19"/>
  <c r="AS35" i="19"/>
  <c r="AR35" i="19"/>
  <c r="AQ35" i="19"/>
  <c r="AP35" i="19"/>
  <c r="AO35" i="19"/>
  <c r="AN35" i="19"/>
  <c r="AM35" i="19"/>
  <c r="AT28" i="19"/>
  <c r="AS28" i="19"/>
  <c r="AR28" i="19"/>
  <c r="AQ28" i="19"/>
  <c r="AP28" i="19"/>
  <c r="AO28" i="19"/>
  <c r="AN28" i="19"/>
  <c r="AM28" i="19"/>
  <c r="AT23" i="19"/>
  <c r="AS23" i="19"/>
  <c r="AR23" i="19"/>
  <c r="AQ23" i="19"/>
  <c r="AP23" i="19"/>
  <c r="AO23" i="19"/>
  <c r="AN23" i="19"/>
  <c r="AM23" i="19"/>
  <c r="AH62" i="19"/>
  <c r="AG62" i="19"/>
  <c r="AF62" i="19"/>
  <c r="AE62" i="19"/>
  <c r="AD62" i="19"/>
  <c r="AC62" i="19"/>
  <c r="AB62" i="19"/>
  <c r="AA62" i="19"/>
  <c r="AH57" i="19"/>
  <c r="AG57" i="19"/>
  <c r="AF57" i="19"/>
  <c r="AE57" i="19"/>
  <c r="AD57" i="19"/>
  <c r="AC57" i="19"/>
  <c r="AB57" i="19"/>
  <c r="AA57" i="19"/>
  <c r="AH52" i="19"/>
  <c r="AG52" i="19"/>
  <c r="AF52" i="19"/>
  <c r="AE52" i="19"/>
  <c r="AD52" i="19"/>
  <c r="AC52" i="19"/>
  <c r="AB52" i="19"/>
  <c r="AA52" i="19"/>
  <c r="AH45" i="19"/>
  <c r="AG45" i="19"/>
  <c r="AF45" i="19"/>
  <c r="AE45" i="19"/>
  <c r="AD45" i="19"/>
  <c r="AC45" i="19"/>
  <c r="AB45" i="19"/>
  <c r="AA45" i="19"/>
  <c r="AH40" i="19"/>
  <c r="AG40" i="19"/>
  <c r="AF40" i="19"/>
  <c r="AE40" i="19"/>
  <c r="AD40" i="19"/>
  <c r="AC40" i="19"/>
  <c r="AB40" i="19"/>
  <c r="AA40" i="19"/>
  <c r="AH35" i="19"/>
  <c r="AG35" i="19"/>
  <c r="AF35" i="19"/>
  <c r="AE35" i="19"/>
  <c r="AD35" i="19"/>
  <c r="AC35" i="19"/>
  <c r="AB35" i="19"/>
  <c r="AA35" i="19"/>
  <c r="AH28" i="19"/>
  <c r="AG28" i="19"/>
  <c r="AF28" i="19"/>
  <c r="AE28" i="19"/>
  <c r="AD28" i="19"/>
  <c r="AC28" i="19"/>
  <c r="AB28" i="19"/>
  <c r="AA28" i="19"/>
  <c r="AH23" i="19"/>
  <c r="AG23" i="19"/>
  <c r="AF23" i="19"/>
  <c r="AE23" i="19"/>
  <c r="AD23" i="19"/>
  <c r="AC23" i="19"/>
  <c r="AB23" i="19"/>
  <c r="AA23" i="19"/>
  <c r="V62" i="19"/>
  <c r="U62" i="19"/>
  <c r="T62" i="19"/>
  <c r="S62" i="19"/>
  <c r="R62" i="19"/>
  <c r="Q62" i="19"/>
  <c r="P62" i="19"/>
  <c r="O62" i="19"/>
  <c r="V57" i="19"/>
  <c r="U57" i="19"/>
  <c r="T57" i="19"/>
  <c r="S57" i="19"/>
  <c r="R57" i="19"/>
  <c r="Q57" i="19"/>
  <c r="P57" i="19"/>
  <c r="O57" i="19"/>
  <c r="V52" i="19"/>
  <c r="U52" i="19"/>
  <c r="T52" i="19"/>
  <c r="S52" i="19"/>
  <c r="R52" i="19"/>
  <c r="Q52" i="19"/>
  <c r="P52" i="19"/>
  <c r="O52" i="19"/>
  <c r="V45" i="19"/>
  <c r="U45" i="19"/>
  <c r="T45" i="19"/>
  <c r="S45" i="19"/>
  <c r="R45" i="19"/>
  <c r="Q45" i="19"/>
  <c r="P45" i="19"/>
  <c r="O45" i="19"/>
  <c r="V40" i="19"/>
  <c r="U40" i="19"/>
  <c r="T40" i="19"/>
  <c r="S40" i="19"/>
  <c r="R40" i="19"/>
  <c r="Q40" i="19"/>
  <c r="P40" i="19"/>
  <c r="O40" i="19"/>
  <c r="V35" i="19"/>
  <c r="U35" i="19"/>
  <c r="T35" i="19"/>
  <c r="S35" i="19"/>
  <c r="R35" i="19"/>
  <c r="Q35" i="19"/>
  <c r="P35" i="19"/>
  <c r="O35" i="19"/>
  <c r="V28" i="19"/>
  <c r="U28" i="19"/>
  <c r="T28" i="19"/>
  <c r="S28" i="19"/>
  <c r="R28" i="19"/>
  <c r="Q28" i="19"/>
  <c r="P28" i="19"/>
  <c r="O28" i="19"/>
  <c r="V23" i="19"/>
  <c r="U23" i="19"/>
  <c r="T23" i="19"/>
  <c r="S23" i="19"/>
  <c r="R23" i="19"/>
  <c r="Q23" i="19"/>
  <c r="P23" i="19"/>
  <c r="O23" i="19"/>
  <c r="J62" i="19"/>
  <c r="I62" i="19"/>
  <c r="H62" i="19"/>
  <c r="G62" i="19"/>
  <c r="F62" i="19"/>
  <c r="E62" i="19"/>
  <c r="D62" i="19"/>
  <c r="J57" i="19"/>
  <c r="I57" i="19"/>
  <c r="H57" i="19"/>
  <c r="G57" i="19"/>
  <c r="F57" i="19"/>
  <c r="E57" i="19"/>
  <c r="D57" i="19"/>
  <c r="AU35" i="19"/>
  <c r="BG62" i="14"/>
  <c r="BF62" i="14"/>
  <c r="BE62" i="14"/>
  <c r="BD62" i="14"/>
  <c r="BC62" i="14"/>
  <c r="BB62" i="14"/>
  <c r="BA62" i="14"/>
  <c r="AZ62" i="14"/>
  <c r="N227" i="15"/>
  <c r="AY62" i="14"/>
  <c r="BG57" i="14"/>
  <c r="BF57" i="14"/>
  <c r="BE57" i="14"/>
  <c r="BD57" i="14"/>
  <c r="BC57" i="14"/>
  <c r="BB57" i="14"/>
  <c r="BA57" i="14"/>
  <c r="AZ57" i="14"/>
  <c r="M230" i="15"/>
  <c r="AY57" i="14"/>
  <c r="BG52" i="14"/>
  <c r="BF52" i="14"/>
  <c r="BE52" i="14"/>
  <c r="BD52" i="14"/>
  <c r="BC52" i="14"/>
  <c r="BB52" i="14"/>
  <c r="BA52" i="14"/>
  <c r="AZ52" i="14"/>
  <c r="L226" i="15"/>
  <c r="AY52" i="14"/>
  <c r="BG45" i="14"/>
  <c r="BF45" i="14"/>
  <c r="BE45" i="14"/>
  <c r="BD45" i="14"/>
  <c r="BC45" i="14"/>
  <c r="BB45" i="14"/>
  <c r="BA45" i="14"/>
  <c r="AZ45" i="14"/>
  <c r="N213" i="15"/>
  <c r="AY45" i="14"/>
  <c r="BG40" i="14"/>
  <c r="BF40" i="14"/>
  <c r="BE40" i="14"/>
  <c r="BD40" i="14"/>
  <c r="BC40" i="14"/>
  <c r="BB40" i="14"/>
  <c r="BA40" i="14"/>
  <c r="AZ40" i="14"/>
  <c r="M218" i="15"/>
  <c r="AY40" i="14"/>
  <c r="BG35" i="14"/>
  <c r="BF35" i="14"/>
  <c r="BE35" i="14"/>
  <c r="BD35" i="14"/>
  <c r="BC35" i="14"/>
  <c r="BB35" i="14"/>
  <c r="BA35" i="14"/>
  <c r="AZ35" i="14"/>
  <c r="L214" i="15"/>
  <c r="AY35" i="14"/>
  <c r="BG28" i="14"/>
  <c r="BF28" i="14"/>
  <c r="BE28" i="14"/>
  <c r="BD28" i="14"/>
  <c r="BC28" i="14"/>
  <c r="BB28" i="14"/>
  <c r="BA28" i="14"/>
  <c r="AZ28" i="14"/>
  <c r="N200" i="15"/>
  <c r="AY28" i="14"/>
  <c r="AU62" i="14"/>
  <c r="AT62" i="14"/>
  <c r="AS62" i="14"/>
  <c r="AR62" i="14"/>
  <c r="AQ62" i="14"/>
  <c r="AP62" i="14"/>
  <c r="AO62" i="14"/>
  <c r="AN62" i="14"/>
  <c r="N190" i="15"/>
  <c r="AM62" i="14"/>
  <c r="AU57" i="14"/>
  <c r="AT57" i="14"/>
  <c r="AS57" i="14"/>
  <c r="AR57" i="14"/>
  <c r="AQ57" i="14"/>
  <c r="AP57" i="14"/>
  <c r="AO57" i="14"/>
  <c r="M188" i="15"/>
  <c r="AN57" i="14"/>
  <c r="AM57" i="14"/>
  <c r="AU52" i="14"/>
  <c r="AT52" i="14"/>
  <c r="AS52" i="14"/>
  <c r="AR52" i="14"/>
  <c r="AQ52" i="14"/>
  <c r="AP52" i="14"/>
  <c r="AO52" i="14"/>
  <c r="AN52" i="14"/>
  <c r="L185" i="15"/>
  <c r="AM52" i="14"/>
  <c r="AU45" i="14"/>
  <c r="AT45" i="14"/>
  <c r="AS45" i="14"/>
  <c r="AR45" i="14"/>
  <c r="AQ45" i="14"/>
  <c r="AP45" i="14"/>
  <c r="AO45" i="14"/>
  <c r="AN45" i="14"/>
  <c r="N174" i="15"/>
  <c r="AM45" i="14"/>
  <c r="AU40" i="14"/>
  <c r="AT40" i="14"/>
  <c r="AS40" i="14"/>
  <c r="AR40" i="14"/>
  <c r="AQ40" i="14"/>
  <c r="AP40" i="14"/>
  <c r="AO40" i="14"/>
  <c r="AN40" i="14"/>
  <c r="M174" i="15"/>
  <c r="AM40" i="14"/>
  <c r="AU35" i="14"/>
  <c r="AT35" i="14"/>
  <c r="AS35" i="14"/>
  <c r="AR35" i="14"/>
  <c r="AQ35" i="14"/>
  <c r="AP35" i="14"/>
  <c r="AO35" i="14"/>
  <c r="AN35" i="14"/>
  <c r="L175" i="15"/>
  <c r="AM35" i="14"/>
  <c r="AU28" i="14"/>
  <c r="AT28" i="14"/>
  <c r="AS28" i="14"/>
  <c r="AR28" i="14"/>
  <c r="AQ28" i="14"/>
  <c r="AP28" i="14"/>
  <c r="AO28" i="14"/>
  <c r="AN28" i="14"/>
  <c r="N162" i="15"/>
  <c r="AM28" i="14"/>
  <c r="AI62" i="14"/>
  <c r="AH62" i="14"/>
  <c r="AG62" i="14"/>
  <c r="AF62" i="14"/>
  <c r="AE62" i="14"/>
  <c r="AD62" i="14"/>
  <c r="AC62" i="14"/>
  <c r="AB62" i="14"/>
  <c r="N146" i="15"/>
  <c r="AA62" i="14"/>
  <c r="AI57" i="14"/>
  <c r="AH57" i="14"/>
  <c r="AG57" i="14"/>
  <c r="AF57" i="14"/>
  <c r="AE57" i="14"/>
  <c r="AD57" i="14"/>
  <c r="AC57" i="14"/>
  <c r="AB57" i="14"/>
  <c r="M149" i="15"/>
  <c r="AA57" i="14"/>
  <c r="AI52" i="14"/>
  <c r="AH52" i="14"/>
  <c r="AG52" i="14"/>
  <c r="AF52" i="14"/>
  <c r="AE52" i="14"/>
  <c r="AD52" i="14"/>
  <c r="AC52" i="14"/>
  <c r="L149" i="15"/>
  <c r="AB52" i="14"/>
  <c r="L146" i="15"/>
  <c r="AA52" i="14"/>
  <c r="AI45" i="14"/>
  <c r="AH45" i="14"/>
  <c r="AG45" i="14"/>
  <c r="AF45" i="14"/>
  <c r="AE45" i="14"/>
  <c r="AD45" i="14"/>
  <c r="AC45" i="14"/>
  <c r="AB45" i="14"/>
  <c r="N137" i="15"/>
  <c r="AA45" i="14"/>
  <c r="AI40" i="14"/>
  <c r="AH40" i="14"/>
  <c r="AG40" i="14"/>
  <c r="AF40" i="14"/>
  <c r="AE40" i="14"/>
  <c r="AD40" i="14"/>
  <c r="AC40" i="14"/>
  <c r="AB40" i="14"/>
  <c r="M139" i="15"/>
  <c r="AA40" i="14"/>
  <c r="AI35" i="14"/>
  <c r="AH35" i="14"/>
  <c r="AG35" i="14"/>
  <c r="AF35" i="14"/>
  <c r="AE35" i="14"/>
  <c r="AD35" i="14"/>
  <c r="AC35" i="14"/>
  <c r="AB35" i="14"/>
  <c r="L137" i="15"/>
  <c r="AA35" i="14"/>
  <c r="AI28" i="14"/>
  <c r="AH28" i="14"/>
  <c r="AG28" i="14"/>
  <c r="AF28" i="14"/>
  <c r="AE28" i="14"/>
  <c r="AD28" i="14"/>
  <c r="AC28" i="14"/>
  <c r="AB28" i="14"/>
  <c r="N125" i="15"/>
  <c r="AA28" i="14"/>
  <c r="W62" i="14"/>
  <c r="V62" i="14"/>
  <c r="U62" i="14"/>
  <c r="T62" i="14"/>
  <c r="S62" i="14"/>
  <c r="R62" i="14"/>
  <c r="Q62" i="14"/>
  <c r="P62" i="14"/>
  <c r="N108" i="15"/>
  <c r="O62" i="14"/>
  <c r="W57" i="14"/>
  <c r="V57" i="14"/>
  <c r="U57" i="14"/>
  <c r="T57" i="14"/>
  <c r="S57" i="14"/>
  <c r="R57" i="14"/>
  <c r="Q57" i="14"/>
  <c r="P57" i="14"/>
  <c r="M113" i="15"/>
  <c r="M111" i="15" s="1"/>
  <c r="O57" i="14"/>
  <c r="W52" i="14"/>
  <c r="V52" i="14"/>
  <c r="U52" i="14"/>
  <c r="T52" i="14"/>
  <c r="S52" i="14"/>
  <c r="R52" i="14"/>
  <c r="Q52" i="14"/>
  <c r="P52" i="14"/>
  <c r="L109" i="15"/>
  <c r="O52" i="14"/>
  <c r="W45" i="14"/>
  <c r="V45" i="14"/>
  <c r="U45" i="14"/>
  <c r="T45" i="14"/>
  <c r="S45" i="14"/>
  <c r="R45" i="14"/>
  <c r="Q45" i="14"/>
  <c r="P45" i="14"/>
  <c r="N96" i="15"/>
  <c r="O45" i="14"/>
  <c r="W40" i="14"/>
  <c r="V40" i="14"/>
  <c r="U40" i="14"/>
  <c r="T40" i="14"/>
  <c r="S40" i="14"/>
  <c r="R40" i="14"/>
  <c r="Q40" i="14"/>
  <c r="P40" i="14"/>
  <c r="M98" i="15"/>
  <c r="O40" i="14"/>
  <c r="W35" i="14"/>
  <c r="V35" i="14"/>
  <c r="U35" i="14"/>
  <c r="T35" i="14"/>
  <c r="L96" i="15"/>
  <c r="S35" i="14"/>
  <c r="R35" i="14"/>
  <c r="Q35" i="14"/>
  <c r="P35" i="14"/>
  <c r="L98" i="15"/>
  <c r="O35" i="14"/>
  <c r="W28" i="14"/>
  <c r="V28" i="14"/>
  <c r="U28" i="14"/>
  <c r="T28" i="14"/>
  <c r="S28" i="14"/>
  <c r="R28" i="14"/>
  <c r="Q28" i="14"/>
  <c r="P28" i="14"/>
  <c r="N88" i="15"/>
  <c r="O28" i="14"/>
  <c r="K62" i="14"/>
  <c r="J62" i="14"/>
  <c r="I62" i="14"/>
  <c r="H62" i="14"/>
  <c r="G62" i="14"/>
  <c r="F62" i="14"/>
  <c r="E62" i="14"/>
  <c r="D62" i="14"/>
  <c r="C62" i="14"/>
  <c r="K57" i="14"/>
  <c r="J57" i="14"/>
  <c r="I57" i="14"/>
  <c r="H57" i="14"/>
  <c r="G57" i="14"/>
  <c r="F57" i="14"/>
  <c r="E57" i="14"/>
  <c r="D57" i="14"/>
  <c r="C57" i="14"/>
  <c r="K52" i="14"/>
  <c r="J52" i="14"/>
  <c r="I52" i="14"/>
  <c r="H52" i="14"/>
  <c r="G52" i="14"/>
  <c r="F52" i="14"/>
  <c r="E52" i="14"/>
  <c r="D52" i="14"/>
  <c r="C52" i="14"/>
  <c r="K45" i="14"/>
  <c r="J45" i="14"/>
  <c r="I45" i="14"/>
  <c r="H45" i="14"/>
  <c r="G45" i="14"/>
  <c r="F45" i="14"/>
  <c r="E45" i="14"/>
  <c r="D45" i="14"/>
  <c r="C45" i="14"/>
  <c r="K40" i="14"/>
  <c r="J40" i="14"/>
  <c r="I40" i="14"/>
  <c r="H40" i="14"/>
  <c r="G40" i="14"/>
  <c r="F40" i="14"/>
  <c r="E40" i="14"/>
  <c r="D40" i="14"/>
  <c r="C40" i="14"/>
  <c r="K35" i="14"/>
  <c r="J35" i="14"/>
  <c r="I35" i="14"/>
  <c r="H35" i="14"/>
  <c r="G35" i="14"/>
  <c r="F35" i="14"/>
  <c r="E35" i="14"/>
  <c r="D35" i="14"/>
  <c r="C35" i="14"/>
  <c r="K28" i="14"/>
  <c r="J28" i="14"/>
  <c r="I28" i="14"/>
  <c r="H28" i="14"/>
  <c r="G28" i="14"/>
  <c r="F28" i="14"/>
  <c r="E28" i="14"/>
  <c r="D28" i="14"/>
  <c r="C28" i="14"/>
  <c r="C65" i="14"/>
  <c r="K69" i="15" s="1"/>
  <c r="C60" i="14"/>
  <c r="J72" i="15" s="1"/>
  <c r="C32" i="14"/>
  <c r="N43" i="15" s="1"/>
  <c r="J35" i="19"/>
  <c r="I35" i="19"/>
  <c r="H35" i="19"/>
  <c r="G35" i="19"/>
  <c r="F35" i="19"/>
  <c r="E35" i="19"/>
  <c r="D35" i="19"/>
  <c r="C35" i="19"/>
  <c r="J52" i="19"/>
  <c r="I52" i="19"/>
  <c r="H52" i="19"/>
  <c r="G52" i="19"/>
  <c r="F52" i="19"/>
  <c r="E52" i="19"/>
  <c r="D52" i="19"/>
  <c r="C52" i="19"/>
  <c r="C62" i="19"/>
  <c r="C57" i="19"/>
  <c r="J45" i="19"/>
  <c r="I45" i="19"/>
  <c r="H45" i="19"/>
  <c r="G45" i="19"/>
  <c r="F45" i="19"/>
  <c r="E45" i="19"/>
  <c r="D45" i="19"/>
  <c r="C45" i="19"/>
  <c r="J40" i="19"/>
  <c r="I40" i="19"/>
  <c r="H40" i="19"/>
  <c r="G40" i="19"/>
  <c r="F40" i="19"/>
  <c r="E40" i="19"/>
  <c r="D40" i="19"/>
  <c r="C40" i="19"/>
  <c r="J28" i="19"/>
  <c r="I28" i="19"/>
  <c r="H28" i="19"/>
  <c r="G28" i="19"/>
  <c r="F28" i="19"/>
  <c r="E28" i="19"/>
  <c r="D28" i="19"/>
  <c r="C28" i="19"/>
  <c r="E23" i="19"/>
  <c r="F23" i="19"/>
  <c r="G23" i="19"/>
  <c r="H23" i="19"/>
  <c r="I23" i="19"/>
  <c r="J23" i="19"/>
  <c r="D23" i="19"/>
  <c r="C23" i="19"/>
  <c r="V23" i="14"/>
  <c r="U23" i="14"/>
  <c r="T23" i="14"/>
  <c r="S23" i="14"/>
  <c r="R23" i="14"/>
  <c r="Q23" i="14"/>
  <c r="P23" i="14"/>
  <c r="E23" i="14"/>
  <c r="F23" i="14"/>
  <c r="G23" i="14"/>
  <c r="H23" i="14"/>
  <c r="I23" i="14"/>
  <c r="J23" i="14"/>
  <c r="D23" i="14"/>
  <c r="K23" i="14"/>
  <c r="N31" i="15"/>
  <c r="M31" i="15"/>
  <c r="L31" i="15"/>
  <c r="N30" i="15"/>
  <c r="M30" i="15"/>
  <c r="L30" i="15"/>
  <c r="N29" i="15"/>
  <c r="M29" i="15"/>
  <c r="L29" i="15"/>
  <c r="N28" i="15"/>
  <c r="M28" i="15"/>
  <c r="L28" i="15"/>
  <c r="N26" i="15"/>
  <c r="M26" i="15"/>
  <c r="L26" i="15"/>
  <c r="N25" i="15"/>
  <c r="M25" i="15"/>
  <c r="L25" i="15"/>
  <c r="N24" i="15"/>
  <c r="M24" i="15"/>
  <c r="L24" i="15"/>
  <c r="N23" i="15"/>
  <c r="M23" i="15"/>
  <c r="L23" i="15"/>
  <c r="P32" i="10" a="1"/>
  <c r="P32" i="10"/>
  <c r="AY24" i="14"/>
  <c r="AY19" i="14"/>
  <c r="AM19" i="14"/>
  <c r="AM24" i="14"/>
  <c r="AM29" i="14"/>
  <c r="O19" i="14"/>
  <c r="M17" i="10"/>
  <c r="M34" i="10"/>
  <c r="M22" i="10"/>
  <c r="M39" i="10"/>
  <c r="P31" i="10" a="1"/>
  <c r="P31" i="10"/>
  <c r="P30" i="10" a="1"/>
  <c r="P30" i="10" s="1"/>
  <c r="P20" i="10" a="1"/>
  <c r="P20" i="10" s="1"/>
  <c r="O66" i="14"/>
  <c r="A2" i="22"/>
  <c r="D4" i="15"/>
  <c r="E31" i="15"/>
  <c r="D31" i="15"/>
  <c r="C31" i="15"/>
  <c r="E30" i="15"/>
  <c r="D30" i="15"/>
  <c r="C30" i="15"/>
  <c r="E29" i="15"/>
  <c r="D29" i="15"/>
  <c r="C29" i="15"/>
  <c r="E28" i="15"/>
  <c r="D28" i="15"/>
  <c r="C28" i="15"/>
  <c r="E26" i="15"/>
  <c r="D26" i="15"/>
  <c r="C26" i="15"/>
  <c r="E25" i="15"/>
  <c r="D25" i="15"/>
  <c r="C25" i="15"/>
  <c r="E24" i="15"/>
  <c r="D24" i="15"/>
  <c r="C24" i="15"/>
  <c r="E23" i="15"/>
  <c r="D23" i="15"/>
  <c r="C23" i="15"/>
  <c r="N113" i="15"/>
  <c r="N110" i="15"/>
  <c r="AW51" i="19"/>
  <c r="AY20" i="14"/>
  <c r="AY21" i="14"/>
  <c r="AY22" i="14"/>
  <c r="AY25" i="14"/>
  <c r="AY26" i="14"/>
  <c r="AY27" i="14"/>
  <c r="AY30" i="14"/>
  <c r="AY31" i="14"/>
  <c r="BG31" i="14"/>
  <c r="AY32" i="14"/>
  <c r="AY37" i="14"/>
  <c r="AY38" i="14"/>
  <c r="BG38" i="14"/>
  <c r="AY39" i="14"/>
  <c r="AY42" i="14"/>
  <c r="AY43" i="14"/>
  <c r="AY44" i="14"/>
  <c r="AY47" i="14"/>
  <c r="AY48" i="14"/>
  <c r="BG48" i="14"/>
  <c r="AY49" i="14"/>
  <c r="AY54" i="14"/>
  <c r="AY55" i="14"/>
  <c r="BG55" i="14"/>
  <c r="AY56" i="14"/>
  <c r="AY59" i="14"/>
  <c r="AY60" i="14"/>
  <c r="BG60" i="14"/>
  <c r="AY61" i="14"/>
  <c r="AY64" i="14"/>
  <c r="AY65" i="14"/>
  <c r="BG65" i="14"/>
  <c r="AY66" i="14"/>
  <c r="AM65" i="14"/>
  <c r="AU65" i="14"/>
  <c r="AM60" i="14"/>
  <c r="AU60" i="14"/>
  <c r="AM55" i="14"/>
  <c r="AU55" i="14"/>
  <c r="AM48" i="14"/>
  <c r="AU48" i="14"/>
  <c r="AM43" i="14"/>
  <c r="AU43" i="14"/>
  <c r="AM38" i="14"/>
  <c r="AU38" i="14"/>
  <c r="O65" i="14"/>
  <c r="O60" i="14"/>
  <c r="O61" i="14"/>
  <c r="O55" i="14"/>
  <c r="O56" i="14"/>
  <c r="O48" i="14"/>
  <c r="O43" i="14"/>
  <c r="O44" i="14"/>
  <c r="O38" i="14"/>
  <c r="O31" i="14"/>
  <c r="W31" i="14"/>
  <c r="O26" i="14"/>
  <c r="W26" i="14"/>
  <c r="O27" i="14"/>
  <c r="O21" i="14"/>
  <c r="W21" i="14"/>
  <c r="K60" i="14"/>
  <c r="J73" i="15" s="1"/>
  <c r="AA48" i="14"/>
  <c r="AI48" i="14"/>
  <c r="AA43" i="14"/>
  <c r="AI43" i="14"/>
  <c r="AA31" i="14"/>
  <c r="AI31" i="14"/>
  <c r="AA26" i="14"/>
  <c r="AI26" i="14"/>
  <c r="AA21" i="14"/>
  <c r="AI21" i="14"/>
  <c r="AA38" i="14"/>
  <c r="AI38" i="14"/>
  <c r="AA65" i="14"/>
  <c r="AI65" i="14"/>
  <c r="AA60" i="14"/>
  <c r="AI60" i="14"/>
  <c r="AA55" i="14"/>
  <c r="AI55" i="14"/>
  <c r="AM31" i="14"/>
  <c r="AU31" i="14"/>
  <c r="AM26" i="14"/>
  <c r="AU26" i="14"/>
  <c r="AM21" i="14"/>
  <c r="AU21" i="14"/>
  <c r="N42" i="10"/>
  <c r="P42" i="10" a="1"/>
  <c r="P42" i="10"/>
  <c r="P41" i="10" a="1"/>
  <c r="P41" i="10"/>
  <c r="P40" i="10" a="1"/>
  <c r="P40" i="10"/>
  <c r="P39" i="10" a="1"/>
  <c r="P39" i="10"/>
  <c r="P38" i="10" a="1"/>
  <c r="P38" i="10"/>
  <c r="N37" i="10"/>
  <c r="P37" i="10" a="1"/>
  <c r="P37" i="10" s="1"/>
  <c r="P36" i="10" a="1"/>
  <c r="P36" i="10" s="1"/>
  <c r="P35" i="10" a="1"/>
  <c r="P35" i="10"/>
  <c r="P34" i="10" a="1"/>
  <c r="P34" i="10" s="1"/>
  <c r="P33" i="10" a="1"/>
  <c r="P33" i="10"/>
  <c r="N32" i="10"/>
  <c r="P29" i="10" a="1"/>
  <c r="P29" i="10" s="1"/>
  <c r="P26" i="10" a="1"/>
  <c r="P26" i="10" s="1"/>
  <c r="P25" i="10" a="1"/>
  <c r="P25" i="10" s="1"/>
  <c r="N26" i="10"/>
  <c r="N25" i="10"/>
  <c r="N20" i="10"/>
  <c r="C40" i="13"/>
  <c r="C39" i="13"/>
  <c r="C38" i="13"/>
  <c r="C37" i="13"/>
  <c r="C36" i="13"/>
  <c r="C35" i="13"/>
  <c r="C34" i="13"/>
  <c r="C32" i="13"/>
  <c r="C31" i="13"/>
  <c r="C30" i="13"/>
  <c r="C29" i="13"/>
  <c r="E40" i="13"/>
  <c r="D40" i="13"/>
  <c r="E39" i="13"/>
  <c r="D39" i="13"/>
  <c r="E38" i="13"/>
  <c r="D38" i="13"/>
  <c r="E37" i="13"/>
  <c r="D37" i="13"/>
  <c r="E36" i="13"/>
  <c r="D36" i="13"/>
  <c r="E35" i="13"/>
  <c r="D35" i="13"/>
  <c r="E34" i="13"/>
  <c r="D34" i="13"/>
  <c r="E33" i="13"/>
  <c r="D33" i="13"/>
  <c r="E32" i="13"/>
  <c r="D32" i="13"/>
  <c r="E31" i="13"/>
  <c r="D31" i="13"/>
  <c r="E30" i="13"/>
  <c r="D30" i="13"/>
  <c r="E29" i="13"/>
  <c r="D29" i="13"/>
  <c r="C25" i="13"/>
  <c r="E25" i="13"/>
  <c r="D25" i="13"/>
  <c r="C22" i="13"/>
  <c r="E22" i="13" s="1"/>
  <c r="C21" i="13"/>
  <c r="D21" i="13" s="1"/>
  <c r="C20" i="13"/>
  <c r="E20" i="13" s="1"/>
  <c r="C19" i="13"/>
  <c r="E19" i="13" s="1"/>
  <c r="C16" i="13"/>
  <c r="C12" i="13"/>
  <c r="C11" i="13"/>
  <c r="F3" i="19"/>
  <c r="C5" i="19" s="1"/>
  <c r="C7" i="19"/>
  <c r="W65" i="14"/>
  <c r="K109" i="15"/>
  <c r="K107" i="15"/>
  <c r="N206" i="15"/>
  <c r="N203" i="15"/>
  <c r="N218" i="15"/>
  <c r="N224" i="15"/>
  <c r="M226" i="15"/>
  <c r="M212" i="15"/>
  <c r="M203" i="15"/>
  <c r="M202" i="15"/>
  <c r="M206" i="15"/>
  <c r="M204" i="15" s="1"/>
  <c r="M201" i="15"/>
  <c r="M205" i="15"/>
  <c r="M200" i="15"/>
  <c r="M107" i="15"/>
  <c r="W60" i="14"/>
  <c r="J107" i="15"/>
  <c r="L108" i="15"/>
  <c r="L107" i="15"/>
  <c r="W55" i="14"/>
  <c r="I112" i="15"/>
  <c r="I108" i="15"/>
  <c r="L225" i="15"/>
  <c r="L224" i="15"/>
  <c r="L217" i="15"/>
  <c r="L218" i="15"/>
  <c r="L206" i="15"/>
  <c r="L202" i="15"/>
  <c r="L205" i="15"/>
  <c r="L201" i="15"/>
  <c r="L200" i="15"/>
  <c r="L203" i="15"/>
  <c r="W48" i="14"/>
  <c r="M101" i="15"/>
  <c r="M85" i="15"/>
  <c r="M89" i="15"/>
  <c r="M84" i="15"/>
  <c r="M88" i="15"/>
  <c r="M83" i="15"/>
  <c r="M82" i="15" s="1"/>
  <c r="M86" i="15"/>
  <c r="W43" i="14"/>
  <c r="W38" i="14"/>
  <c r="BG21" i="14"/>
  <c r="BG43" i="14"/>
  <c r="BG26" i="14"/>
  <c r="X2" i="22"/>
  <c r="W2" i="22"/>
  <c r="V2" i="22"/>
  <c r="U2" i="22"/>
  <c r="T2" i="22"/>
  <c r="S2" i="22"/>
  <c r="R2" i="22"/>
  <c r="Q2" i="22"/>
  <c r="P2" i="22"/>
  <c r="O2" i="22"/>
  <c r="N2" i="22"/>
  <c r="M2" i="22"/>
  <c r="L2" i="22"/>
  <c r="K2" i="22"/>
  <c r="J2" i="22"/>
  <c r="I2" i="22"/>
  <c r="H2" i="22"/>
  <c r="G2" i="22"/>
  <c r="F2" i="22"/>
  <c r="E2" i="22"/>
  <c r="D2" i="22"/>
  <c r="C2" i="22"/>
  <c r="B2" i="22"/>
  <c r="BG62" i="19"/>
  <c r="AU62" i="19"/>
  <c r="AI62" i="19"/>
  <c r="W62" i="19"/>
  <c r="K62" i="19"/>
  <c r="BG57" i="19"/>
  <c r="AU57" i="19"/>
  <c r="AI57" i="19"/>
  <c r="W57" i="19"/>
  <c r="K57" i="19"/>
  <c r="BG52" i="19"/>
  <c r="AU52" i="19"/>
  <c r="AI52" i="19"/>
  <c r="W52" i="19"/>
  <c r="K52" i="19"/>
  <c r="BG51" i="19"/>
  <c r="AU51" i="19"/>
  <c r="AK51" i="19"/>
  <c r="AI51" i="19"/>
  <c r="Y51" i="19"/>
  <c r="W51" i="19"/>
  <c r="M51" i="19"/>
  <c r="K51" i="19"/>
  <c r="BG45" i="19"/>
  <c r="AU45" i="19"/>
  <c r="AI45" i="19"/>
  <c r="W45" i="19"/>
  <c r="K45" i="19"/>
  <c r="BG40" i="19"/>
  <c r="AU40" i="19"/>
  <c r="AI40" i="19"/>
  <c r="W40" i="19"/>
  <c r="K40" i="19"/>
  <c r="BG35" i="19"/>
  <c r="AI35" i="19"/>
  <c r="W35" i="19"/>
  <c r="K35" i="19"/>
  <c r="BG34" i="19"/>
  <c r="AW34" i="19"/>
  <c r="AU34" i="19"/>
  <c r="AK34" i="19"/>
  <c r="AI34" i="19"/>
  <c r="Y34" i="19"/>
  <c r="W34" i="19"/>
  <c r="M34" i="19"/>
  <c r="K34" i="19"/>
  <c r="BG28" i="19"/>
  <c r="AU28" i="19"/>
  <c r="AI28" i="19"/>
  <c r="W28" i="19"/>
  <c r="K28" i="19"/>
  <c r="BG23" i="19"/>
  <c r="AU23" i="19"/>
  <c r="AI23" i="19"/>
  <c r="W23" i="19"/>
  <c r="K23" i="19"/>
  <c r="F3" i="14"/>
  <c r="C6" i="14" s="1"/>
  <c r="C7" i="14"/>
  <c r="C23" i="14"/>
  <c r="N48" i="15"/>
  <c r="F3" i="21"/>
  <c r="C6" i="21"/>
  <c r="A51" i="21"/>
  <c r="A34" i="21"/>
  <c r="N18" i="10"/>
  <c r="AY63" i="14"/>
  <c r="AY58" i="14"/>
  <c r="AY53" i="14"/>
  <c r="AM66" i="14"/>
  <c r="AM64" i="14"/>
  <c r="AM63" i="14"/>
  <c r="AM61" i="14"/>
  <c r="AM59" i="14"/>
  <c r="AM58" i="14"/>
  <c r="AM54" i="14"/>
  <c r="AM56" i="14"/>
  <c r="AM53" i="14"/>
  <c r="AY46" i="14"/>
  <c r="AY41" i="14"/>
  <c r="AM49" i="14"/>
  <c r="AM47" i="14"/>
  <c r="AM46" i="14"/>
  <c r="AM44" i="14"/>
  <c r="AM42" i="14"/>
  <c r="AM41" i="14"/>
  <c r="AM37" i="14"/>
  <c r="AM39" i="14"/>
  <c r="AY36" i="14"/>
  <c r="AM36" i="14"/>
  <c r="AA66" i="14"/>
  <c r="AA64" i="14"/>
  <c r="AA63" i="14"/>
  <c r="AA61" i="14"/>
  <c r="AA59" i="14"/>
  <c r="AA58" i="14"/>
  <c r="AA54" i="14"/>
  <c r="AA56" i="14"/>
  <c r="AA53" i="14"/>
  <c r="AA49" i="14"/>
  <c r="AA47" i="14"/>
  <c r="AA46" i="14"/>
  <c r="AA44" i="14"/>
  <c r="AA42" i="14"/>
  <c r="AA41" i="14"/>
  <c r="AA37" i="14"/>
  <c r="AA39" i="14"/>
  <c r="AA36" i="14"/>
  <c r="O64" i="14"/>
  <c r="O63" i="14"/>
  <c r="O59" i="14"/>
  <c r="O58" i="14"/>
  <c r="O54" i="14"/>
  <c r="O53" i="14"/>
  <c r="O49" i="14"/>
  <c r="O47" i="14"/>
  <c r="O46" i="14"/>
  <c r="O42" i="14"/>
  <c r="O41" i="14"/>
  <c r="O37" i="14"/>
  <c r="O39" i="14"/>
  <c r="O36" i="14"/>
  <c r="AY29" i="14"/>
  <c r="AM32" i="14"/>
  <c r="AM30" i="14"/>
  <c r="AM27" i="14"/>
  <c r="AM25" i="14"/>
  <c r="AM20" i="14"/>
  <c r="AM22" i="14"/>
  <c r="AA32" i="14"/>
  <c r="AA30" i="14"/>
  <c r="AA29" i="14"/>
  <c r="AA27" i="14"/>
  <c r="AA25" i="14"/>
  <c r="AA24" i="14"/>
  <c r="AA20" i="14"/>
  <c r="AA22" i="14"/>
  <c r="AA19" i="14"/>
  <c r="O32" i="14"/>
  <c r="O30" i="14"/>
  <c r="O29" i="14"/>
  <c r="O25" i="14"/>
  <c r="O24" i="14"/>
  <c r="O20" i="14"/>
  <c r="O22" i="14"/>
  <c r="N191" i="15"/>
  <c r="N186" i="15"/>
  <c r="N178" i="15"/>
  <c r="N167" i="15"/>
  <c r="N139" i="15"/>
  <c r="N134" i="15"/>
  <c r="N152" i="15"/>
  <c r="N148" i="15"/>
  <c r="N123" i="15"/>
  <c r="M162" i="15"/>
  <c r="M167" i="15"/>
  <c r="M166" i="15"/>
  <c r="M164" i="15"/>
  <c r="M161" i="15"/>
  <c r="M163" i="15"/>
  <c r="M147" i="15"/>
  <c r="M134" i="15"/>
  <c r="M125" i="15"/>
  <c r="M128" i="15"/>
  <c r="M124" i="15"/>
  <c r="M122" i="15"/>
  <c r="M123" i="15"/>
  <c r="M121" i="15" s="1"/>
  <c r="M127" i="15"/>
  <c r="M126" i="15" s="1"/>
  <c r="M179" i="15"/>
  <c r="M173" i="15"/>
  <c r="M185" i="15"/>
  <c r="M184" i="15" s="1"/>
  <c r="L127" i="15"/>
  <c r="L123" i="15"/>
  <c r="L125" i="15"/>
  <c r="L122" i="15"/>
  <c r="L124" i="15"/>
  <c r="L128" i="15"/>
  <c r="L167" i="15"/>
  <c r="L165" i="15" s="1"/>
  <c r="L161" i="15"/>
  <c r="L163" i="15"/>
  <c r="L166" i="15"/>
  <c r="L162" i="15"/>
  <c r="L164" i="15"/>
  <c r="L173" i="15"/>
  <c r="L172" i="15" s="1"/>
  <c r="L179" i="15"/>
  <c r="L177" i="15" s="1"/>
  <c r="L136" i="15"/>
  <c r="L134" i="15"/>
  <c r="L188" i="15"/>
  <c r="L191" i="15"/>
  <c r="N97" i="15"/>
  <c r="N100" i="15"/>
  <c r="N83" i="15"/>
  <c r="N85" i="15"/>
  <c r="L88" i="15"/>
  <c r="L87" i="15" s="1"/>
  <c r="L85" i="15"/>
  <c r="L84" i="15"/>
  <c r="L86" i="15"/>
  <c r="L83" i="15"/>
  <c r="L89" i="15"/>
  <c r="C163" i="15"/>
  <c r="C166" i="15"/>
  <c r="C165" i="15" s="1"/>
  <c r="C161" i="15"/>
  <c r="C167" i="15"/>
  <c r="C162" i="15"/>
  <c r="C164" i="15"/>
  <c r="C125" i="15"/>
  <c r="C128" i="15"/>
  <c r="C123" i="15"/>
  <c r="C124" i="15"/>
  <c r="C127" i="15"/>
  <c r="C122" i="15"/>
  <c r="C88" i="15"/>
  <c r="C83" i="15"/>
  <c r="C85" i="15"/>
  <c r="C84" i="15"/>
  <c r="C86" i="15"/>
  <c r="C89" i="15"/>
  <c r="C206" i="15"/>
  <c r="C201" i="15"/>
  <c r="C203" i="15"/>
  <c r="C200" i="15"/>
  <c r="C205" i="15"/>
  <c r="C202" i="15"/>
  <c r="F83" i="15"/>
  <c r="F89" i="15"/>
  <c r="F88" i="15"/>
  <c r="F86" i="15"/>
  <c r="F84" i="15"/>
  <c r="F85" i="15"/>
  <c r="F127" i="15"/>
  <c r="F124" i="15"/>
  <c r="F128" i="15"/>
  <c r="F122" i="15"/>
  <c r="F123" i="15"/>
  <c r="F125" i="15"/>
  <c r="I164" i="15"/>
  <c r="I163" i="15"/>
  <c r="I162" i="15"/>
  <c r="I161" i="15"/>
  <c r="I167" i="15"/>
  <c r="I166" i="15"/>
  <c r="I165" i="15" s="1"/>
  <c r="F162" i="15"/>
  <c r="F161" i="15"/>
  <c r="F167" i="15"/>
  <c r="F166" i="15"/>
  <c r="F165" i="15" s="1"/>
  <c r="F163" i="15"/>
  <c r="F164" i="15"/>
  <c r="I203" i="15"/>
  <c r="I202" i="15"/>
  <c r="I205" i="15"/>
  <c r="I204" i="15" s="1"/>
  <c r="I206" i="15"/>
  <c r="I200" i="15"/>
  <c r="I201" i="15"/>
  <c r="I86" i="15"/>
  <c r="I85" i="15"/>
  <c r="I84" i="15"/>
  <c r="I83" i="15"/>
  <c r="I89" i="15"/>
  <c r="I88" i="15"/>
  <c r="I87" i="15" s="1"/>
  <c r="F206" i="15"/>
  <c r="F201" i="15"/>
  <c r="F203" i="15"/>
  <c r="F205" i="15"/>
  <c r="F200" i="15"/>
  <c r="F202" i="15"/>
  <c r="I128" i="15"/>
  <c r="I123" i="15"/>
  <c r="I122" i="15"/>
  <c r="I127" i="15"/>
  <c r="I125" i="15"/>
  <c r="I124" i="15"/>
  <c r="A51" i="19"/>
  <c r="A34" i="19"/>
  <c r="BF23" i="14"/>
  <c r="AT23" i="14"/>
  <c r="AH23" i="14"/>
  <c r="N43" i="10"/>
  <c r="N41" i="10"/>
  <c r="N40" i="10"/>
  <c r="N38" i="10"/>
  <c r="N36" i="10"/>
  <c r="N35" i="10"/>
  <c r="N21" i="10"/>
  <c r="N19" i="10"/>
  <c r="N33" i="10"/>
  <c r="N31" i="10"/>
  <c r="N30" i="10"/>
  <c r="BG66" i="14"/>
  <c r="BG64" i="14"/>
  <c r="BG63" i="14"/>
  <c r="BG61" i="14"/>
  <c r="BG59" i="14"/>
  <c r="BG58" i="14"/>
  <c r="BG56" i="14"/>
  <c r="BG54" i="14"/>
  <c r="BG53" i="14"/>
  <c r="BG51" i="14"/>
  <c r="BG49" i="14"/>
  <c r="N219" i="15"/>
  <c r="BG47" i="14"/>
  <c r="BG46" i="14"/>
  <c r="BG44" i="14"/>
  <c r="M219" i="15"/>
  <c r="BG42" i="14"/>
  <c r="BG41" i="14"/>
  <c r="BG39" i="14"/>
  <c r="BG37" i="14"/>
  <c r="BG36" i="14"/>
  <c r="BG34" i="14"/>
  <c r="BG32" i="14"/>
  <c r="BG30" i="14"/>
  <c r="BG29" i="14"/>
  <c r="BG27" i="14"/>
  <c r="M207" i="15"/>
  <c r="BG25" i="14"/>
  <c r="BG24" i="14"/>
  <c r="BG23" i="14"/>
  <c r="BG22" i="14"/>
  <c r="BG20" i="14"/>
  <c r="BG19" i="14"/>
  <c r="AU66" i="14"/>
  <c r="N192" i="15"/>
  <c r="AU64" i="14"/>
  <c r="AU63" i="14"/>
  <c r="AU61" i="14"/>
  <c r="AU59" i="14"/>
  <c r="AU58" i="14"/>
  <c r="AU56" i="14"/>
  <c r="AU54" i="14"/>
  <c r="AU53" i="14"/>
  <c r="AU51" i="14"/>
  <c r="AU49" i="14"/>
  <c r="N180" i="15"/>
  <c r="AU47" i="14"/>
  <c r="AU46" i="14"/>
  <c r="AU44" i="14"/>
  <c r="AU42" i="14"/>
  <c r="AU41" i="14"/>
  <c r="AU39" i="14"/>
  <c r="AU37" i="14"/>
  <c r="AU36" i="14"/>
  <c r="AU34" i="14"/>
  <c r="AU32" i="14"/>
  <c r="AU30" i="14"/>
  <c r="AU29" i="14"/>
  <c r="AU27" i="14"/>
  <c r="M168" i="15"/>
  <c r="AU25" i="14"/>
  <c r="AU24" i="14"/>
  <c r="AU23" i="14"/>
  <c r="AU22" i="14"/>
  <c r="AU20" i="14"/>
  <c r="F168" i="15"/>
  <c r="AU19" i="14"/>
  <c r="AI66" i="14"/>
  <c r="AI64" i="14"/>
  <c r="AI63" i="14"/>
  <c r="AI61" i="14"/>
  <c r="AI59" i="14"/>
  <c r="AI58" i="14"/>
  <c r="AI56" i="14"/>
  <c r="AI54" i="14"/>
  <c r="AI53" i="14"/>
  <c r="AI51" i="14"/>
  <c r="AI49" i="14"/>
  <c r="AI47" i="14"/>
  <c r="AI46" i="14"/>
  <c r="AI44" i="14"/>
  <c r="AI42" i="14"/>
  <c r="AI41" i="14"/>
  <c r="AI39" i="14"/>
  <c r="AI37" i="14"/>
  <c r="AI36" i="14"/>
  <c r="AI34" i="14"/>
  <c r="AI32" i="14"/>
  <c r="AI30" i="14"/>
  <c r="AI29" i="14"/>
  <c r="AI27" i="14"/>
  <c r="M129" i="15"/>
  <c r="AI25" i="14"/>
  <c r="AI24" i="14"/>
  <c r="AI23" i="14"/>
  <c r="AI22" i="14"/>
  <c r="AI20" i="14"/>
  <c r="F129" i="15"/>
  <c r="AI19" i="14"/>
  <c r="C129" i="15"/>
  <c r="W66" i="14"/>
  <c r="W64" i="14"/>
  <c r="W63" i="14"/>
  <c r="W61" i="14"/>
  <c r="W59" i="14"/>
  <c r="W58" i="14"/>
  <c r="W56" i="14"/>
  <c r="W54" i="14"/>
  <c r="W53" i="14"/>
  <c r="W51" i="14"/>
  <c r="W49" i="14"/>
  <c r="W47" i="14"/>
  <c r="W46" i="14"/>
  <c r="W44" i="14"/>
  <c r="W42" i="14"/>
  <c r="W41" i="14"/>
  <c r="W39" i="14"/>
  <c r="W37" i="14"/>
  <c r="W36" i="14"/>
  <c r="W34" i="14"/>
  <c r="W32" i="14"/>
  <c r="W30" i="14"/>
  <c r="W29" i="14"/>
  <c r="W27" i="14"/>
  <c r="M90" i="15"/>
  <c r="W25" i="14"/>
  <c r="W24" i="14"/>
  <c r="W23" i="14"/>
  <c r="W22" i="14"/>
  <c r="W20" i="14"/>
  <c r="F90" i="15"/>
  <c r="W19" i="14"/>
  <c r="C90" i="15"/>
  <c r="I129" i="15"/>
  <c r="L129" i="15"/>
  <c r="I168" i="15"/>
  <c r="L168" i="15"/>
  <c r="I207" i="15"/>
  <c r="L207" i="15"/>
  <c r="I90" i="15"/>
  <c r="L90" i="15"/>
  <c r="N102" i="15"/>
  <c r="C168" i="15"/>
  <c r="C207" i="15"/>
  <c r="F207" i="15"/>
  <c r="E3" i="10"/>
  <c r="D3" i="2"/>
  <c r="D3" i="11"/>
  <c r="O23" i="14"/>
  <c r="AA23" i="14"/>
  <c r="AB23" i="14"/>
  <c r="AC23" i="14"/>
  <c r="AD23" i="14"/>
  <c r="AE23" i="14"/>
  <c r="AF23" i="14"/>
  <c r="AG23" i="14"/>
  <c r="AM23" i="14"/>
  <c r="AN23" i="14"/>
  <c r="AO23" i="14"/>
  <c r="AP23" i="14"/>
  <c r="AQ23" i="14"/>
  <c r="AR23" i="14"/>
  <c r="AS23" i="14"/>
  <c r="AY23" i="14"/>
  <c r="AZ23" i="14"/>
  <c r="BA23" i="14"/>
  <c r="BB23" i="14"/>
  <c r="BC23" i="14"/>
  <c r="BD23" i="14"/>
  <c r="BE23" i="14"/>
  <c r="A34" i="14"/>
  <c r="K34" i="14"/>
  <c r="M34" i="14"/>
  <c r="O34" i="14"/>
  <c r="P34" i="14"/>
  <c r="Q34" i="14"/>
  <c r="R34" i="14"/>
  <c r="S34" i="14"/>
  <c r="T34" i="14"/>
  <c r="U34" i="14"/>
  <c r="Y34" i="14"/>
  <c r="AA34" i="14"/>
  <c r="AB34" i="14"/>
  <c r="AC34" i="14"/>
  <c r="AD34" i="14"/>
  <c r="AE34" i="14"/>
  <c r="AF34" i="14"/>
  <c r="AG34" i="14"/>
  <c r="AK34" i="14"/>
  <c r="AM34" i="14"/>
  <c r="AN34" i="14"/>
  <c r="AO34" i="14"/>
  <c r="AP34" i="14"/>
  <c r="AQ34" i="14"/>
  <c r="AR34" i="14"/>
  <c r="AS34" i="14"/>
  <c r="AW34" i="14"/>
  <c r="AY34" i="14"/>
  <c r="AZ34" i="14"/>
  <c r="BA34" i="14"/>
  <c r="BB34" i="14"/>
  <c r="BC34" i="14"/>
  <c r="BD34" i="14"/>
  <c r="BE34" i="14"/>
  <c r="A51" i="14"/>
  <c r="C51" i="14"/>
  <c r="D51" i="14"/>
  <c r="E51" i="14"/>
  <c r="F51" i="14"/>
  <c r="G51" i="14"/>
  <c r="H51" i="14"/>
  <c r="I51" i="14"/>
  <c r="K51" i="14"/>
  <c r="M51" i="14"/>
  <c r="O51" i="14"/>
  <c r="P51" i="14"/>
  <c r="Q51" i="14"/>
  <c r="R51" i="14"/>
  <c r="S51" i="14"/>
  <c r="T51" i="14"/>
  <c r="U51" i="14"/>
  <c r="Y51" i="14"/>
  <c r="AA51" i="14"/>
  <c r="AB51" i="14"/>
  <c r="AC51" i="14"/>
  <c r="AD51" i="14"/>
  <c r="AE51" i="14"/>
  <c r="AF51" i="14"/>
  <c r="AG51" i="14"/>
  <c r="AK51" i="14"/>
  <c r="AM51" i="14"/>
  <c r="AN51" i="14"/>
  <c r="AO51" i="14"/>
  <c r="AP51" i="14"/>
  <c r="AQ51" i="14"/>
  <c r="AR51" i="14"/>
  <c r="AS51" i="14"/>
  <c r="AW51" i="14"/>
  <c r="AY51" i="14"/>
  <c r="AZ51" i="14"/>
  <c r="BA51" i="14"/>
  <c r="BB51" i="14"/>
  <c r="BC51" i="14"/>
  <c r="BD51" i="14"/>
  <c r="BE51" i="14"/>
  <c r="E109" i="15"/>
  <c r="D110" i="15"/>
  <c r="D109" i="15"/>
  <c r="C109" i="15"/>
  <c r="C110" i="15"/>
  <c r="E212" i="15"/>
  <c r="E218" i="15"/>
  <c r="E216" i="15" s="1"/>
  <c r="D219" i="15"/>
  <c r="C214" i="15"/>
  <c r="C218" i="15"/>
  <c r="E127" i="15"/>
  <c r="D127" i="15"/>
  <c r="D126" i="15" s="1"/>
  <c r="D122" i="15"/>
  <c r="D129" i="15"/>
  <c r="D124" i="15"/>
  <c r="D125" i="15"/>
  <c r="D123" i="15"/>
  <c r="D128" i="15"/>
  <c r="E163" i="15"/>
  <c r="D164" i="15"/>
  <c r="D167" i="15"/>
  <c r="D162" i="15"/>
  <c r="D163" i="15"/>
  <c r="D166" i="15"/>
  <c r="D165" i="15" s="1"/>
  <c r="D168" i="15"/>
  <c r="D161" i="15"/>
  <c r="D151" i="15"/>
  <c r="D152" i="15"/>
  <c r="D150" i="15" s="1"/>
  <c r="E98" i="15"/>
  <c r="E96" i="15"/>
  <c r="E100" i="15"/>
  <c r="E99" i="15" s="1"/>
  <c r="E95" i="15"/>
  <c r="E187" i="15"/>
  <c r="E191" i="15"/>
  <c r="C190" i="15"/>
  <c r="C189" i="15" s="1"/>
  <c r="C188" i="15"/>
  <c r="E141" i="15"/>
  <c r="E140" i="15"/>
  <c r="D135" i="15"/>
  <c r="D139" i="15"/>
  <c r="C136" i="15"/>
  <c r="E203" i="15"/>
  <c r="E207" i="15"/>
  <c r="D207" i="15"/>
  <c r="D202" i="15"/>
  <c r="D205" i="15"/>
  <c r="D200" i="15"/>
  <c r="D206" i="15"/>
  <c r="D201" i="15"/>
  <c r="D203" i="15"/>
  <c r="E149" i="15"/>
  <c r="E146" i="15"/>
  <c r="D100" i="15"/>
  <c r="D98" i="15"/>
  <c r="E231" i="15"/>
  <c r="E230" i="15"/>
  <c r="D224" i="15"/>
  <c r="D226" i="15"/>
  <c r="D231" i="15"/>
  <c r="D225" i="15"/>
  <c r="C227" i="15"/>
  <c r="C230" i="15"/>
  <c r="E176" i="15"/>
  <c r="E175" i="15"/>
  <c r="D175" i="15"/>
  <c r="C179" i="15"/>
  <c r="C173" i="15"/>
  <c r="C172" i="15" s="1"/>
  <c r="E85" i="15"/>
  <c r="E89" i="15"/>
  <c r="D89" i="15"/>
  <c r="D84" i="15"/>
  <c r="D86" i="15"/>
  <c r="D88" i="15"/>
  <c r="D83" i="15"/>
  <c r="D90" i="15"/>
  <c r="D85" i="15"/>
  <c r="H108" i="15"/>
  <c r="G109" i="15"/>
  <c r="F108" i="15"/>
  <c r="K218" i="15"/>
  <c r="K216" i="15" s="1"/>
  <c r="H217" i="15"/>
  <c r="K213" i="15"/>
  <c r="K215" i="15"/>
  <c r="J213" i="15"/>
  <c r="J211" i="15" s="1"/>
  <c r="J218" i="15"/>
  <c r="G214" i="15"/>
  <c r="I217" i="15"/>
  <c r="F218" i="15"/>
  <c r="I219" i="15"/>
  <c r="I213" i="15"/>
  <c r="H124" i="15"/>
  <c r="K124" i="15"/>
  <c r="K127" i="15"/>
  <c r="J127" i="15"/>
  <c r="G129" i="15"/>
  <c r="G125" i="15"/>
  <c r="G124" i="15"/>
  <c r="J129" i="15"/>
  <c r="G128" i="15"/>
  <c r="J125" i="15"/>
  <c r="G122" i="15"/>
  <c r="J123" i="15"/>
  <c r="J128" i="15"/>
  <c r="J126" i="15" s="1"/>
  <c r="G127" i="15"/>
  <c r="J122" i="15"/>
  <c r="G123" i="15"/>
  <c r="J124" i="15"/>
  <c r="J121" i="15" s="1"/>
  <c r="K149" i="15"/>
  <c r="K153" i="15"/>
  <c r="K146" i="15"/>
  <c r="H149" i="15"/>
  <c r="G153" i="15"/>
  <c r="G146" i="15"/>
  <c r="G151" i="15"/>
  <c r="H100" i="15"/>
  <c r="K100" i="15"/>
  <c r="K99" i="15" s="1"/>
  <c r="H96" i="15"/>
  <c r="H101" i="15"/>
  <c r="H102" i="15"/>
  <c r="H95" i="15"/>
  <c r="K97" i="15"/>
  <c r="G101" i="15"/>
  <c r="G100" i="15"/>
  <c r="G99" i="15"/>
  <c r="G97" i="15"/>
  <c r="G96" i="15"/>
  <c r="K167" i="15"/>
  <c r="K164" i="15"/>
  <c r="K163" i="15"/>
  <c r="K161" i="15"/>
  <c r="G168" i="15"/>
  <c r="G167" i="15"/>
  <c r="G166" i="15"/>
  <c r="G165" i="15" s="1"/>
  <c r="J162" i="15"/>
  <c r="J161" i="15"/>
  <c r="J168" i="15"/>
  <c r="J167" i="15"/>
  <c r="J165" i="15" s="1"/>
  <c r="J166" i="15"/>
  <c r="G163" i="15"/>
  <c r="J164" i="15"/>
  <c r="J160" i="15" s="1"/>
  <c r="G161" i="15"/>
  <c r="G164" i="15"/>
  <c r="J163" i="15"/>
  <c r="G162" i="15"/>
  <c r="H188" i="15"/>
  <c r="K190" i="15"/>
  <c r="K189" i="15" s="1"/>
  <c r="K186" i="15"/>
  <c r="H185" i="15"/>
  <c r="J192" i="15"/>
  <c r="I187" i="15"/>
  <c r="I186" i="15"/>
  <c r="F187" i="15"/>
  <c r="F184" i="15" s="1"/>
  <c r="K140" i="15"/>
  <c r="K138" i="15" s="1"/>
  <c r="H137" i="15"/>
  <c r="K136" i="15"/>
  <c r="K137" i="15"/>
  <c r="G140" i="15"/>
  <c r="J140" i="15"/>
  <c r="G137" i="15"/>
  <c r="J134" i="15"/>
  <c r="F136" i="15"/>
  <c r="I136" i="15"/>
  <c r="F134" i="15"/>
  <c r="K205" i="15"/>
  <c r="K201" i="15"/>
  <c r="K203" i="15"/>
  <c r="H206" i="15"/>
  <c r="J207" i="15"/>
  <c r="J206" i="15"/>
  <c r="G205" i="15"/>
  <c r="J201" i="15"/>
  <c r="G200" i="15"/>
  <c r="G206" i="15"/>
  <c r="G203" i="15"/>
  <c r="G202" i="15"/>
  <c r="J203" i="15"/>
  <c r="J202" i="15"/>
  <c r="G201" i="15"/>
  <c r="J200" i="15"/>
  <c r="G207" i="15"/>
  <c r="J205" i="15"/>
  <c r="J204" i="15" s="1"/>
  <c r="K227" i="15"/>
  <c r="K224" i="15"/>
  <c r="H226" i="15"/>
  <c r="J226" i="15"/>
  <c r="G225" i="15"/>
  <c r="G224" i="15"/>
  <c r="G230" i="15"/>
  <c r="G228" i="15" s="1"/>
  <c r="G227" i="15"/>
  <c r="J225" i="15"/>
  <c r="F229" i="15"/>
  <c r="I225" i="15"/>
  <c r="F224" i="15"/>
  <c r="K175" i="15"/>
  <c r="H180" i="15"/>
  <c r="H173" i="15"/>
  <c r="G180" i="15"/>
  <c r="J179" i="15"/>
  <c r="J174" i="15"/>
  <c r="J180" i="15"/>
  <c r="F179" i="15"/>
  <c r="F177" i="15" s="1"/>
  <c r="I176" i="15"/>
  <c r="F175" i="15"/>
  <c r="K88" i="15"/>
  <c r="H90" i="15"/>
  <c r="K84" i="15"/>
  <c r="G90" i="15"/>
  <c r="G89" i="15"/>
  <c r="G88" i="15"/>
  <c r="G87" i="15" s="1"/>
  <c r="J83" i="15"/>
  <c r="J90" i="15"/>
  <c r="J89" i="15"/>
  <c r="J88" i="15"/>
  <c r="J87" i="15" s="1"/>
  <c r="J85" i="15"/>
  <c r="G85" i="15"/>
  <c r="J86" i="15"/>
  <c r="J84" i="15"/>
  <c r="G83" i="15"/>
  <c r="G84" i="15"/>
  <c r="G86" i="15"/>
  <c r="P43" i="10" a="1"/>
  <c r="P43" i="10"/>
  <c r="C19" i="2"/>
  <c r="F14" i="2"/>
  <c r="F19" i="2"/>
  <c r="E14" i="2"/>
  <c r="E19" i="2"/>
  <c r="D14" i="2"/>
  <c r="D19" i="2"/>
  <c r="C14" i="2"/>
  <c r="G14" i="2"/>
  <c r="G19" i="2"/>
  <c r="G126" i="15"/>
  <c r="G204" i="15"/>
  <c r="K12" i="10"/>
  <c r="J12" i="10"/>
  <c r="I12" i="10"/>
  <c r="H12" i="10"/>
  <c r="N39" i="10"/>
  <c r="L39" i="10"/>
  <c r="G39" i="10"/>
  <c r="F39" i="10"/>
  <c r="E39" i="10"/>
  <c r="D39" i="10"/>
  <c r="C39" i="10"/>
  <c r="N34" i="10"/>
  <c r="L34" i="10"/>
  <c r="G34" i="10"/>
  <c r="F34" i="10"/>
  <c r="E34" i="10"/>
  <c r="D34" i="10"/>
  <c r="C34" i="10"/>
  <c r="N29" i="10"/>
  <c r="M29" i="10"/>
  <c r="L29" i="10"/>
  <c r="G29" i="10"/>
  <c r="F29" i="10"/>
  <c r="E29" i="10"/>
  <c r="D29" i="10"/>
  <c r="C29" i="10"/>
  <c r="N22" i="10"/>
  <c r="L22" i="10"/>
  <c r="G22" i="10"/>
  <c r="F22" i="10"/>
  <c r="E22" i="10"/>
  <c r="D22" i="10"/>
  <c r="C22" i="10"/>
  <c r="N17" i="10"/>
  <c r="L17" i="10"/>
  <c r="G17" i="10"/>
  <c r="F17" i="10"/>
  <c r="E17" i="10"/>
  <c r="D17" i="10"/>
  <c r="C17" i="10"/>
  <c r="I26" i="15"/>
  <c r="I25" i="15"/>
  <c r="F24" i="15"/>
  <c r="F23" i="15"/>
  <c r="F26" i="15"/>
  <c r="F25" i="15"/>
  <c r="I24" i="15"/>
  <c r="I23" i="15"/>
  <c r="G24" i="15"/>
  <c r="G23" i="15"/>
  <c r="J26" i="15"/>
  <c r="J25" i="15"/>
  <c r="J24" i="15"/>
  <c r="J23" i="15"/>
  <c r="G26" i="15"/>
  <c r="G25" i="15"/>
  <c r="K24" i="15"/>
  <c r="K23" i="15"/>
  <c r="H26" i="15"/>
  <c r="H25" i="15"/>
  <c r="H24" i="15"/>
  <c r="H23" i="15"/>
  <c r="K26" i="15"/>
  <c r="K25" i="15"/>
  <c r="J39" i="10"/>
  <c r="J34" i="10"/>
  <c r="J29" i="10"/>
  <c r="J22" i="10"/>
  <c r="J17" i="10"/>
  <c r="H39" i="10"/>
  <c r="H34" i="10"/>
  <c r="H29" i="10"/>
  <c r="H22" i="10"/>
  <c r="H17" i="10"/>
  <c r="I29" i="10"/>
  <c r="I22" i="10"/>
  <c r="I39" i="10"/>
  <c r="I34" i="10"/>
  <c r="I17" i="10"/>
  <c r="K39" i="10"/>
  <c r="K34" i="10"/>
  <c r="K29" i="10"/>
  <c r="K22" i="10"/>
  <c r="K17" i="10"/>
  <c r="J31" i="15"/>
  <c r="K30" i="15"/>
  <c r="F31" i="15"/>
  <c r="K31" i="15"/>
  <c r="H31" i="15"/>
  <c r="H30" i="15"/>
  <c r="J28" i="15"/>
  <c r="F30" i="15"/>
  <c r="I28" i="15"/>
  <c r="K28" i="15"/>
  <c r="H28" i="15"/>
  <c r="J29" i="15"/>
  <c r="G28" i="15"/>
  <c r="I31" i="15"/>
  <c r="I29" i="15"/>
  <c r="K29" i="15"/>
  <c r="H29" i="15"/>
  <c r="G29" i="15"/>
  <c r="J30" i="15"/>
  <c r="G30" i="15"/>
  <c r="F28" i="15"/>
  <c r="G31" i="15"/>
  <c r="I30" i="15"/>
  <c r="F29" i="15"/>
  <c r="H10" i="11"/>
  <c r="G10" i="11"/>
  <c r="E10" i="11"/>
  <c r="C10" i="11"/>
  <c r="M28" i="10"/>
  <c r="D10" i="11"/>
  <c r="A28" i="10"/>
  <c r="N28" i="10"/>
  <c r="L28" i="10"/>
  <c r="K28" i="10"/>
  <c r="J28" i="10"/>
  <c r="I28" i="10"/>
  <c r="H28" i="10"/>
  <c r="G28" i="10"/>
  <c r="F28" i="10"/>
  <c r="E28" i="10"/>
  <c r="D28" i="10"/>
  <c r="C28" i="10"/>
  <c r="H231" i="15"/>
  <c r="H225" i="15"/>
  <c r="K229" i="15"/>
  <c r="E227" i="15"/>
  <c r="N230" i="15"/>
  <c r="N225" i="15"/>
  <c r="H224" i="15"/>
  <c r="H227" i="15"/>
  <c r="K226" i="15"/>
  <c r="H230" i="15"/>
  <c r="E226" i="15"/>
  <c r="E229" i="15"/>
  <c r="E228" i="15"/>
  <c r="N231" i="15"/>
  <c r="N226" i="15"/>
  <c r="H229" i="15"/>
  <c r="K230" i="15"/>
  <c r="K228" i="15" s="1"/>
  <c r="K231" i="15"/>
  <c r="K225" i="15"/>
  <c r="E224" i="15"/>
  <c r="E225" i="15"/>
  <c r="N229" i="15"/>
  <c r="J224" i="15"/>
  <c r="J230" i="15"/>
  <c r="G226" i="15"/>
  <c r="J227" i="15"/>
  <c r="D227" i="15"/>
  <c r="D230" i="15"/>
  <c r="M229" i="15"/>
  <c r="M227" i="15"/>
  <c r="G229" i="15"/>
  <c r="J231" i="15"/>
  <c r="G231" i="15"/>
  <c r="J229" i="15"/>
  <c r="D229" i="15"/>
  <c r="M231" i="15"/>
  <c r="M225" i="15"/>
  <c r="M224" i="15"/>
  <c r="F230" i="15"/>
  <c r="F228" i="15" s="1"/>
  <c r="I227" i="15"/>
  <c r="I224" i="15"/>
  <c r="I230" i="15"/>
  <c r="C226" i="15"/>
  <c r="C229" i="15"/>
  <c r="C228" i="15"/>
  <c r="L231" i="15"/>
  <c r="L229" i="15"/>
  <c r="F225" i="15"/>
  <c r="F223" i="15" s="1"/>
  <c r="I229" i="15"/>
  <c r="I228" i="15" s="1"/>
  <c r="F226" i="15"/>
  <c r="I231" i="15"/>
  <c r="C225" i="15"/>
  <c r="L227" i="15"/>
  <c r="I226" i="15"/>
  <c r="F231" i="15"/>
  <c r="F227" i="15"/>
  <c r="C224" i="15"/>
  <c r="C231" i="15"/>
  <c r="L230" i="15"/>
  <c r="L228" i="15" s="1"/>
  <c r="K212" i="15"/>
  <c r="H214" i="15"/>
  <c r="H213" i="15"/>
  <c r="K219" i="15"/>
  <c r="E215" i="15"/>
  <c r="E217" i="15"/>
  <c r="N215" i="15"/>
  <c r="N212" i="15"/>
  <c r="E214" i="15"/>
  <c r="N214" i="15"/>
  <c r="K217" i="15"/>
  <c r="H219" i="15"/>
  <c r="K214" i="15"/>
  <c r="H218" i="15"/>
  <c r="H212" i="15"/>
  <c r="H215" i="15"/>
  <c r="E213" i="15"/>
  <c r="E219" i="15"/>
  <c r="N217" i="15"/>
  <c r="N216" i="15"/>
  <c r="G217" i="15"/>
  <c r="G213" i="15"/>
  <c r="J217" i="15"/>
  <c r="G218" i="15"/>
  <c r="D217" i="15"/>
  <c r="D213" i="15"/>
  <c r="M214" i="15"/>
  <c r="M217" i="15"/>
  <c r="J215" i="15"/>
  <c r="J214" i="15"/>
  <c r="J219" i="15"/>
  <c r="G219" i="15"/>
  <c r="D212" i="15"/>
  <c r="D218" i="15"/>
  <c r="M213" i="15"/>
  <c r="M211" i="15"/>
  <c r="G212" i="15"/>
  <c r="G215" i="15"/>
  <c r="J212" i="15"/>
  <c r="D214" i="15"/>
  <c r="D215" i="15"/>
  <c r="M215" i="15"/>
  <c r="L219" i="15"/>
  <c r="L215" i="15"/>
  <c r="L212" i="15"/>
  <c r="L211" i="15" s="1"/>
  <c r="I212" i="15"/>
  <c r="I211" i="15" s="1"/>
  <c r="F215" i="15"/>
  <c r="F214" i="15"/>
  <c r="F213" i="15"/>
  <c r="C212" i="15"/>
  <c r="L213" i="15"/>
  <c r="F219" i="15"/>
  <c r="F212" i="15"/>
  <c r="C213" i="15"/>
  <c r="C219" i="15"/>
  <c r="F217" i="15"/>
  <c r="F216" i="15" s="1"/>
  <c r="I218" i="15"/>
  <c r="I216" i="15"/>
  <c r="I215" i="15"/>
  <c r="I214" i="15"/>
  <c r="C215" i="15"/>
  <c r="C217" i="15"/>
  <c r="C216" i="15" s="1"/>
  <c r="H203" i="15"/>
  <c r="H205" i="15"/>
  <c r="H204" i="15" s="1"/>
  <c r="H202" i="15"/>
  <c r="E202" i="15"/>
  <c r="N207" i="15"/>
  <c r="H201" i="15"/>
  <c r="K206" i="15"/>
  <c r="K207" i="15"/>
  <c r="E200" i="15"/>
  <c r="E201" i="15"/>
  <c r="N201" i="15"/>
  <c r="N205" i="15"/>
  <c r="N204" i="15" s="1"/>
  <c r="H207" i="15"/>
  <c r="K202" i="15"/>
  <c r="H200" i="15"/>
  <c r="K200" i="15"/>
  <c r="E205" i="15"/>
  <c r="E206" i="15"/>
  <c r="N202" i="15"/>
  <c r="G187" i="15"/>
  <c r="H191" i="15"/>
  <c r="K191" i="15"/>
  <c r="E186" i="15"/>
  <c r="M187" i="15"/>
  <c r="D185" i="15"/>
  <c r="J187" i="15"/>
  <c r="K187" i="15"/>
  <c r="K184" i="15" s="1"/>
  <c r="H186" i="15"/>
  <c r="D191" i="15"/>
  <c r="E185" i="15"/>
  <c r="N188" i="15"/>
  <c r="H190" i="15"/>
  <c r="H189" i="15" s="1"/>
  <c r="E192" i="15"/>
  <c r="N187" i="15"/>
  <c r="K185" i="15"/>
  <c r="H192" i="15"/>
  <c r="K188" i="15"/>
  <c r="H187" i="15"/>
  <c r="K192" i="15"/>
  <c r="E188" i="15"/>
  <c r="E184" i="15" s="1"/>
  <c r="E190" i="15"/>
  <c r="N185" i="15"/>
  <c r="J186" i="15"/>
  <c r="J191" i="15"/>
  <c r="G188" i="15"/>
  <c r="D190" i="15"/>
  <c r="M186" i="15"/>
  <c r="G185" i="15"/>
  <c r="J185" i="15"/>
  <c r="J188" i="15"/>
  <c r="G191" i="15"/>
  <c r="D187" i="15"/>
  <c r="D188" i="15"/>
  <c r="M192" i="15"/>
  <c r="M190" i="15"/>
  <c r="M191" i="15"/>
  <c r="G190" i="15"/>
  <c r="G186" i="15"/>
  <c r="G192" i="15"/>
  <c r="J190" i="15"/>
  <c r="D192" i="15"/>
  <c r="D186" i="15"/>
  <c r="F188" i="15"/>
  <c r="I185" i="15"/>
  <c r="F190" i="15"/>
  <c r="C187" i="15"/>
  <c r="L192" i="15"/>
  <c r="L190" i="15"/>
  <c r="L189" i="15"/>
  <c r="L186" i="15"/>
  <c r="F191" i="15"/>
  <c r="I188" i="15"/>
  <c r="I190" i="15"/>
  <c r="I191" i="15"/>
  <c r="I189" i="15" s="1"/>
  <c r="C191" i="15"/>
  <c r="C192" i="15"/>
  <c r="L187" i="15"/>
  <c r="F186" i="15"/>
  <c r="F185" i="15"/>
  <c r="F192" i="15"/>
  <c r="I192" i="15"/>
  <c r="C186" i="15"/>
  <c r="C185" i="15"/>
  <c r="K174" i="15"/>
  <c r="H175" i="15"/>
  <c r="H178" i="15"/>
  <c r="E174" i="15"/>
  <c r="N179" i="15"/>
  <c r="N175" i="15"/>
  <c r="K173" i="15"/>
  <c r="H174" i="15"/>
  <c r="K176" i="15"/>
  <c r="H179" i="15"/>
  <c r="H177" i="15" s="1"/>
  <c r="E178" i="15"/>
  <c r="E179" i="15"/>
  <c r="N173" i="15"/>
  <c r="N176" i="15"/>
  <c r="H176" i="15"/>
  <c r="K178" i="15"/>
  <c r="K179" i="15"/>
  <c r="K177" i="15" s="1"/>
  <c r="K180" i="15"/>
  <c r="E180" i="15"/>
  <c r="E173" i="15"/>
  <c r="G174" i="15"/>
  <c r="J173" i="15"/>
  <c r="J172" i="15" s="1"/>
  <c r="D180" i="15"/>
  <c r="M175" i="15"/>
  <c r="J175" i="15"/>
  <c r="J178" i="15"/>
  <c r="G178" i="15"/>
  <c r="D179" i="15"/>
  <c r="D173" i="15"/>
  <c r="M178" i="15"/>
  <c r="M176" i="15"/>
  <c r="G179" i="15"/>
  <c r="D174" i="15"/>
  <c r="M180" i="15"/>
  <c r="G176" i="15"/>
  <c r="G173" i="15"/>
  <c r="G175" i="15"/>
  <c r="J176" i="15"/>
  <c r="D176" i="15"/>
  <c r="D178" i="15"/>
  <c r="D177" i="15" s="1"/>
  <c r="F174" i="15"/>
  <c r="I180" i="15"/>
  <c r="C176" i="15"/>
  <c r="L176" i="15"/>
  <c r="F173" i="15"/>
  <c r="F172" i="15" s="1"/>
  <c r="C180" i="15"/>
  <c r="L174" i="15"/>
  <c r="I179" i="15"/>
  <c r="F178" i="15"/>
  <c r="C175" i="15"/>
  <c r="L178" i="15"/>
  <c r="I175" i="15"/>
  <c r="F180" i="15"/>
  <c r="F176" i="15"/>
  <c r="L180" i="15"/>
  <c r="I178" i="15"/>
  <c r="I173" i="15"/>
  <c r="I174" i="15"/>
  <c r="C178" i="15"/>
  <c r="C174" i="15"/>
  <c r="H168" i="15"/>
  <c r="K162" i="15"/>
  <c r="H163" i="15"/>
  <c r="K168" i="15"/>
  <c r="E167" i="15"/>
  <c r="E168" i="15"/>
  <c r="N168" i="15"/>
  <c r="N163" i="15"/>
  <c r="N160" i="15" s="1"/>
  <c r="H166" i="15"/>
  <c r="H165" i="15" s="1"/>
  <c r="H167" i="15"/>
  <c r="H164" i="15"/>
  <c r="E162" i="15"/>
  <c r="E161" i="15"/>
  <c r="N164" i="15"/>
  <c r="N161" i="15"/>
  <c r="H162" i="15"/>
  <c r="H161" i="15"/>
  <c r="K166" i="15"/>
  <c r="E164" i="15"/>
  <c r="E166" i="15"/>
  <c r="E165" i="15" s="1"/>
  <c r="N166" i="15"/>
  <c r="K147" i="15"/>
  <c r="H146" i="15"/>
  <c r="E153" i="15"/>
  <c r="N149" i="15"/>
  <c r="H151" i="15"/>
  <c r="H150" i="15" s="1"/>
  <c r="K148" i="15"/>
  <c r="H147" i="15"/>
  <c r="E151" i="15"/>
  <c r="E147" i="15"/>
  <c r="E145" i="15" s="1"/>
  <c r="N151" i="15"/>
  <c r="N150" i="15" s="1"/>
  <c r="K151" i="15"/>
  <c r="K150" i="15" s="1"/>
  <c r="H153" i="15"/>
  <c r="N153" i="15"/>
  <c r="K152" i="15"/>
  <c r="H152" i="15"/>
  <c r="H148" i="15"/>
  <c r="E148" i="15"/>
  <c r="E152" i="15"/>
  <c r="N147" i="15"/>
  <c r="J147" i="15"/>
  <c r="G147" i="15"/>
  <c r="D148" i="15"/>
  <c r="G152" i="15"/>
  <c r="G150" i="15" s="1"/>
  <c r="J146" i="15"/>
  <c r="G148" i="15"/>
  <c r="J151" i="15"/>
  <c r="D147" i="15"/>
  <c r="D153" i="15"/>
  <c r="M146" i="15"/>
  <c r="M148" i="15"/>
  <c r="J152" i="15"/>
  <c r="J150" i="15" s="1"/>
  <c r="G149" i="15"/>
  <c r="D149" i="15"/>
  <c r="M153" i="15"/>
  <c r="M152" i="15"/>
  <c r="J153" i="15"/>
  <c r="J148" i="15"/>
  <c r="J149" i="15"/>
  <c r="D146" i="15"/>
  <c r="M151" i="15"/>
  <c r="M150" i="15"/>
  <c r="F148" i="15"/>
  <c r="I146" i="15"/>
  <c r="F149" i="15"/>
  <c r="C148" i="15"/>
  <c r="C149" i="15"/>
  <c r="L152" i="15"/>
  <c r="F152" i="15"/>
  <c r="F146" i="15"/>
  <c r="F147" i="15"/>
  <c r="F151" i="15"/>
  <c r="F150" i="15" s="1"/>
  <c r="C146" i="15"/>
  <c r="C152" i="15"/>
  <c r="C150" i="15" s="1"/>
  <c r="L148" i="15"/>
  <c r="I149" i="15"/>
  <c r="I153" i="15"/>
  <c r="F153" i="15"/>
  <c r="I152" i="15"/>
  <c r="C151" i="15"/>
  <c r="L153" i="15"/>
  <c r="L151" i="15"/>
  <c r="I147" i="15"/>
  <c r="I148" i="15"/>
  <c r="I151" i="15"/>
  <c r="C153" i="15"/>
  <c r="C147" i="15"/>
  <c r="L147" i="15"/>
  <c r="H140" i="15"/>
  <c r="H134" i="15"/>
  <c r="N140" i="15"/>
  <c r="K141" i="15"/>
  <c r="H141" i="15"/>
  <c r="K135" i="15"/>
  <c r="E137" i="15"/>
  <c r="E139" i="15"/>
  <c r="E138" i="15" s="1"/>
  <c r="N136" i="15"/>
  <c r="H139" i="15"/>
  <c r="H138" i="15" s="1"/>
  <c r="E134" i="15"/>
  <c r="N141" i="15"/>
  <c r="N135" i="15"/>
  <c r="H136" i="15"/>
  <c r="H135" i="15"/>
  <c r="K134" i="15"/>
  <c r="K139" i="15"/>
  <c r="E135" i="15"/>
  <c r="E136" i="15"/>
  <c r="G136" i="15"/>
  <c r="G134" i="15"/>
  <c r="G135" i="15"/>
  <c r="J141" i="15"/>
  <c r="D136" i="15"/>
  <c r="D140" i="15"/>
  <c r="M141" i="15"/>
  <c r="M136" i="15"/>
  <c r="M135" i="15"/>
  <c r="J137" i="15"/>
  <c r="J135" i="15"/>
  <c r="J136" i="15"/>
  <c r="D134" i="15"/>
  <c r="M137" i="15"/>
  <c r="M140" i="15"/>
  <c r="G141" i="15"/>
  <c r="J139" i="15"/>
  <c r="J138" i="15" s="1"/>
  <c r="G139" i="15"/>
  <c r="G138" i="15"/>
  <c r="D141" i="15"/>
  <c r="D137" i="15"/>
  <c r="I140" i="15"/>
  <c r="I135" i="15"/>
  <c r="F139" i="15"/>
  <c r="I137" i="15"/>
  <c r="C135" i="15"/>
  <c r="C141" i="15"/>
  <c r="L135" i="15"/>
  <c r="L133" i="15" s="1"/>
  <c r="I134" i="15"/>
  <c r="I139" i="15"/>
  <c r="F140" i="15"/>
  <c r="F141" i="15"/>
  <c r="C140" i="15"/>
  <c r="C134" i="15"/>
  <c r="L141" i="15"/>
  <c r="L139" i="15"/>
  <c r="F137" i="15"/>
  <c r="F135" i="15"/>
  <c r="I141" i="15"/>
  <c r="C137" i="15"/>
  <c r="C139" i="15"/>
  <c r="L140" i="15"/>
  <c r="L138" i="15" s="1"/>
  <c r="K122" i="15"/>
  <c r="K123" i="15"/>
  <c r="K125" i="15"/>
  <c r="H125" i="15"/>
  <c r="E124" i="15"/>
  <c r="E125" i="15"/>
  <c r="N129" i="15"/>
  <c r="N127" i="15"/>
  <c r="H122" i="15"/>
  <c r="H121" i="15" s="1"/>
  <c r="H129" i="15"/>
  <c r="E123" i="15"/>
  <c r="N128" i="15"/>
  <c r="N124" i="15"/>
  <c r="H127" i="15"/>
  <c r="H128" i="15"/>
  <c r="E129" i="15"/>
  <c r="K128" i="15"/>
  <c r="H123" i="15"/>
  <c r="K129" i="15"/>
  <c r="E122" i="15"/>
  <c r="E128" i="15"/>
  <c r="N122" i="15"/>
  <c r="H110" i="15"/>
  <c r="E108" i="15"/>
  <c r="N114" i="15"/>
  <c r="K114" i="15"/>
  <c r="N109" i="15"/>
  <c r="H114" i="15"/>
  <c r="H112" i="15"/>
  <c r="E113" i="15"/>
  <c r="E107" i="15"/>
  <c r="K108" i="15"/>
  <c r="N112" i="15"/>
  <c r="N111" i="15" s="1"/>
  <c r="H109" i="15"/>
  <c r="E114" i="15"/>
  <c r="K112" i="15"/>
  <c r="K111" i="15" s="1"/>
  <c r="N107" i="15"/>
  <c r="H107" i="15"/>
  <c r="H113" i="15"/>
  <c r="E110" i="15"/>
  <c r="E112" i="15"/>
  <c r="K110" i="15"/>
  <c r="K113" i="15"/>
  <c r="G107" i="15"/>
  <c r="D114" i="15"/>
  <c r="M114" i="15"/>
  <c r="J108" i="15"/>
  <c r="J109" i="15"/>
  <c r="J106" i="15" s="1"/>
  <c r="M108" i="15"/>
  <c r="M109" i="15"/>
  <c r="G110" i="15"/>
  <c r="G113" i="15"/>
  <c r="D112" i="15"/>
  <c r="D108" i="15"/>
  <c r="J110" i="15"/>
  <c r="J112" i="15"/>
  <c r="J111" i="15" s="1"/>
  <c r="M110" i="15"/>
  <c r="M112" i="15"/>
  <c r="G112" i="15"/>
  <c r="G111" i="15" s="1"/>
  <c r="G108" i="15"/>
  <c r="G114" i="15"/>
  <c r="D107" i="15"/>
  <c r="D113" i="15"/>
  <c r="J113" i="15"/>
  <c r="J114" i="15"/>
  <c r="F112" i="15"/>
  <c r="C114" i="15"/>
  <c r="L114" i="15"/>
  <c r="F113" i="15"/>
  <c r="F114" i="15"/>
  <c r="C107" i="15"/>
  <c r="C106" i="15" s="1"/>
  <c r="I109" i="15"/>
  <c r="I114" i="15"/>
  <c r="L110" i="15"/>
  <c r="F109" i="15"/>
  <c r="C108" i="15"/>
  <c r="I113" i="15"/>
  <c r="I110" i="15"/>
  <c r="L112" i="15"/>
  <c r="L113" i="15"/>
  <c r="F107" i="15"/>
  <c r="F110" i="15"/>
  <c r="C113" i="15"/>
  <c r="C112" i="15"/>
  <c r="C111" i="15" s="1"/>
  <c r="I107" i="15"/>
  <c r="K96" i="15"/>
  <c r="K102" i="15"/>
  <c r="K98" i="15"/>
  <c r="E97" i="15"/>
  <c r="N101" i="15"/>
  <c r="N98" i="15"/>
  <c r="N95" i="15"/>
  <c r="N94" i="15" s="1"/>
  <c r="H98" i="15"/>
  <c r="K95" i="15"/>
  <c r="H97" i="15"/>
  <c r="K101" i="15"/>
  <c r="E102" i="15"/>
  <c r="E101" i="15"/>
  <c r="G95" i="15"/>
  <c r="J100" i="15"/>
  <c r="J101" i="15"/>
  <c r="J102" i="15"/>
  <c r="D96" i="15"/>
  <c r="D97" i="15"/>
  <c r="M102" i="15"/>
  <c r="M100" i="15"/>
  <c r="J96" i="15"/>
  <c r="J97" i="15"/>
  <c r="J95" i="15"/>
  <c r="D101" i="15"/>
  <c r="D102" i="15"/>
  <c r="M95" i="15"/>
  <c r="M97" i="15"/>
  <c r="G102" i="15"/>
  <c r="J98" i="15"/>
  <c r="G98" i="15"/>
  <c r="D95" i="15"/>
  <c r="M96" i="15"/>
  <c r="F97" i="15"/>
  <c r="F95" i="15"/>
  <c r="C96" i="15"/>
  <c r="L101" i="15"/>
  <c r="I100" i="15"/>
  <c r="F98" i="15"/>
  <c r="I96" i="15"/>
  <c r="C100" i="15"/>
  <c r="C101" i="15"/>
  <c r="C99" i="15" s="1"/>
  <c r="L95" i="15"/>
  <c r="F100" i="15"/>
  <c r="F96" i="15"/>
  <c r="I102" i="15"/>
  <c r="F102" i="15"/>
  <c r="C102" i="15"/>
  <c r="C98" i="15"/>
  <c r="L97" i="15"/>
  <c r="I95" i="15"/>
  <c r="C97" i="15"/>
  <c r="L102" i="15"/>
  <c r="I101" i="15"/>
  <c r="I98" i="15"/>
  <c r="F101" i="15"/>
  <c r="I97" i="15"/>
  <c r="C95" i="15"/>
  <c r="L100" i="15"/>
  <c r="K85" i="15"/>
  <c r="H84" i="15"/>
  <c r="E84" i="15"/>
  <c r="H89" i="15"/>
  <c r="K83" i="15"/>
  <c r="H85" i="15"/>
  <c r="K90" i="15"/>
  <c r="E83" i="15"/>
  <c r="N89" i="15"/>
  <c r="K86" i="15"/>
  <c r="K89" i="15"/>
  <c r="K87" i="15" s="1"/>
  <c r="E90" i="15"/>
  <c r="N86" i="15"/>
  <c r="N84" i="15"/>
  <c r="H83" i="15"/>
  <c r="H88" i="15"/>
  <c r="H86" i="15"/>
  <c r="E86" i="15"/>
  <c r="E88" i="15"/>
  <c r="E87" i="15" s="1"/>
  <c r="N90" i="15"/>
  <c r="K66" i="15"/>
  <c r="J69" i="15"/>
  <c r="J66" i="15"/>
  <c r="N44" i="15"/>
  <c r="N42" i="15"/>
  <c r="D189" i="15"/>
  <c r="N126" i="15"/>
  <c r="BG66" i="21"/>
  <c r="K47" i="21"/>
  <c r="BI47" i="21" s="1"/>
  <c r="AU21" i="21"/>
  <c r="C7" i="21"/>
  <c r="C5" i="21"/>
  <c r="C5" i="14"/>
  <c r="BG27" i="21"/>
  <c r="AU41" i="21"/>
  <c r="BG64" i="21"/>
  <c r="BG55" i="19"/>
  <c r="W24" i="21"/>
  <c r="BG24" i="21"/>
  <c r="AU64" i="21"/>
  <c r="AU26" i="21"/>
  <c r="AU29" i="21"/>
  <c r="BI29" i="21" s="1"/>
  <c r="BG20" i="21"/>
  <c r="BG29" i="21"/>
  <c r="AU43" i="21"/>
  <c r="AI63" i="21"/>
  <c r="BG63" i="21"/>
  <c r="BI63" i="21" s="1"/>
  <c r="BG60" i="19"/>
  <c r="BG63" i="19"/>
  <c r="AU47" i="19"/>
  <c r="BG42" i="21"/>
  <c r="AI20" i="19"/>
  <c r="W63" i="21"/>
  <c r="AU30" i="19"/>
  <c r="BG44" i="19"/>
  <c r="BG32" i="21"/>
  <c r="BG39" i="21"/>
  <c r="BG26" i="19"/>
  <c r="K31" i="19"/>
  <c r="W56" i="19"/>
  <c r="K21" i="19"/>
  <c r="K58" i="19"/>
  <c r="K27" i="19"/>
  <c r="K36" i="19"/>
  <c r="K41" i="19"/>
  <c r="K46" i="19"/>
  <c r="K48" i="19"/>
  <c r="K53" i="19"/>
  <c r="K55" i="19"/>
  <c r="K56" i="19"/>
  <c r="K63" i="19"/>
  <c r="K65" i="19"/>
  <c r="W61" i="19"/>
  <c r="W43" i="19"/>
  <c r="W44" i="19"/>
  <c r="W38" i="19"/>
  <c r="W29" i="19"/>
  <c r="W32" i="19"/>
  <c r="W25" i="19"/>
  <c r="W20" i="19"/>
  <c r="AI21" i="19"/>
  <c r="AI22" i="19"/>
  <c r="AI27" i="19"/>
  <c r="AI29" i="19"/>
  <c r="AI36" i="19"/>
  <c r="AI37" i="19"/>
  <c r="AI39" i="19"/>
  <c r="AI42" i="19"/>
  <c r="AI49" i="19"/>
  <c r="AI53" i="19"/>
  <c r="AI56" i="19"/>
  <c r="AI59" i="19"/>
  <c r="AI65" i="19"/>
  <c r="AI66" i="19"/>
  <c r="AU63" i="19"/>
  <c r="AU58" i="19"/>
  <c r="AU60" i="19"/>
  <c r="AU53" i="19"/>
  <c r="AU54" i="19"/>
  <c r="K24" i="19"/>
  <c r="K29" i="19"/>
  <c r="K30" i="19"/>
  <c r="K42" i="19"/>
  <c r="K49" i="19"/>
  <c r="K54" i="19"/>
  <c r="K59" i="19"/>
  <c r="K66" i="19"/>
  <c r="W48" i="19"/>
  <c r="W26" i="19"/>
  <c r="AU46" i="19"/>
  <c r="AU42" i="19"/>
  <c r="AU44" i="19"/>
  <c r="AU37" i="19"/>
  <c r="AU38" i="19"/>
  <c r="AU29" i="19"/>
  <c r="AU24" i="19"/>
  <c r="AU26" i="19"/>
  <c r="AU21" i="19"/>
  <c r="AU22" i="19"/>
  <c r="BG19" i="19"/>
  <c r="BG25" i="19"/>
  <c r="BG32" i="19"/>
  <c r="BG36" i="19"/>
  <c r="BG38" i="19"/>
  <c r="BG42" i="19"/>
  <c r="BG43" i="19"/>
  <c r="BG48" i="19"/>
  <c r="BG53" i="19"/>
  <c r="BG59" i="19"/>
  <c r="BG64" i="19"/>
  <c r="BG66" i="19"/>
  <c r="K19" i="21"/>
  <c r="K24" i="21"/>
  <c r="K25" i="21"/>
  <c r="BI25" i="21" s="1"/>
  <c r="K26" i="21"/>
  <c r="BI26" i="21" s="1"/>
  <c r="K27" i="21"/>
  <c r="K29" i="21"/>
  <c r="K30" i="21"/>
  <c r="K31" i="21"/>
  <c r="K32" i="21"/>
  <c r="K36" i="21"/>
  <c r="K37" i="21"/>
  <c r="BI37" i="21" s="1"/>
  <c r="K38" i="21"/>
  <c r="K39" i="21"/>
  <c r="K41" i="21"/>
  <c r="K42" i="21"/>
  <c r="BI42" i="21" s="1"/>
  <c r="K43" i="21"/>
  <c r="BI43" i="21" s="1"/>
  <c r="K44" i="21"/>
  <c r="K46" i="21"/>
  <c r="K48" i="21"/>
  <c r="K49" i="21"/>
  <c r="K53" i="21"/>
  <c r="K54" i="21"/>
  <c r="K55" i="21"/>
  <c r="BI55" i="21" s="1"/>
  <c r="K56" i="21"/>
  <c r="K58" i="21"/>
  <c r="K59" i="21"/>
  <c r="K60" i="21"/>
  <c r="BI60" i="21" s="1"/>
  <c r="K61" i="21"/>
  <c r="BI61" i="21" s="1"/>
  <c r="K63" i="21"/>
  <c r="K64" i="21"/>
  <c r="K65" i="21"/>
  <c r="K66" i="21"/>
  <c r="W64" i="21"/>
  <c r="W65" i="21"/>
  <c r="W66" i="21"/>
  <c r="BI66" i="21" s="1"/>
  <c r="W58" i="21"/>
  <c r="W59" i="21"/>
  <c r="W61" i="21"/>
  <c r="W53" i="21"/>
  <c r="BI53" i="21" s="1"/>
  <c r="W54" i="21"/>
  <c r="BI54" i="21" s="1"/>
  <c r="W55" i="21"/>
  <c r="W56" i="21"/>
  <c r="W46" i="21"/>
  <c r="W47" i="21"/>
  <c r="W48" i="21"/>
  <c r="W49" i="21"/>
  <c r="W41" i="21"/>
  <c r="W42" i="21"/>
  <c r="W43" i="21"/>
  <c r="W44" i="21"/>
  <c r="W36" i="21"/>
  <c r="W37" i="21"/>
  <c r="W38" i="21"/>
  <c r="W39" i="21"/>
  <c r="W29" i="21"/>
  <c r="W30" i="21"/>
  <c r="W31" i="21"/>
  <c r="BI31" i="21" s="1"/>
  <c r="W32" i="21"/>
  <c r="BI32" i="21" s="1"/>
  <c r="W25" i="21"/>
  <c r="W26" i="21"/>
  <c r="W27" i="21"/>
  <c r="W20" i="21"/>
  <c r="W21" i="21"/>
  <c r="W22" i="21"/>
  <c r="BI22" i="21" s="1"/>
  <c r="AI19" i="21"/>
  <c r="AI20" i="21"/>
  <c r="AI21" i="21"/>
  <c r="AI22" i="21"/>
  <c r="AI24" i="21"/>
  <c r="AI25" i="21"/>
  <c r="AI26" i="21"/>
  <c r="AI29" i="21"/>
  <c r="AI30" i="21"/>
  <c r="AI31" i="21"/>
  <c r="AI32" i="21"/>
  <c r="AI36" i="21"/>
  <c r="AI37" i="21"/>
  <c r="AI38" i="21"/>
  <c r="AI39" i="21"/>
  <c r="BI39" i="21" s="1"/>
  <c r="AI41" i="21"/>
  <c r="AI42" i="21"/>
  <c r="AI43" i="21"/>
  <c r="AI44" i="21"/>
  <c r="BI44" i="21" s="1"/>
  <c r="AI46" i="21"/>
  <c r="AI47" i="21"/>
  <c r="AI48" i="21"/>
  <c r="AI49" i="21"/>
  <c r="AI53" i="21"/>
  <c r="AI54" i="21"/>
  <c r="AI55" i="21"/>
  <c r="AI56" i="21"/>
  <c r="AI58" i="21"/>
  <c r="AI59" i="21"/>
  <c r="AI60" i="21"/>
  <c r="AI61" i="21"/>
  <c r="AI64" i="21"/>
  <c r="AI65" i="21"/>
  <c r="AI66" i="21"/>
  <c r="AU63" i="21"/>
  <c r="AU65" i="21"/>
  <c r="AU66" i="21"/>
  <c r="AU58" i="21"/>
  <c r="AU59" i="21"/>
  <c r="AU60" i="21"/>
  <c r="AU61" i="21"/>
  <c r="AU54" i="21"/>
  <c r="AU55" i="21"/>
  <c r="AU56" i="21"/>
  <c r="AU46" i="21"/>
  <c r="AU47" i="21"/>
  <c r="AU48" i="21"/>
  <c r="AU49" i="21"/>
  <c r="BI49" i="21" s="1"/>
  <c r="AU44" i="21"/>
  <c r="AU36" i="21"/>
  <c r="AU37" i="21"/>
  <c r="AU38" i="21"/>
  <c r="AU39" i="21"/>
  <c r="AU30" i="21"/>
  <c r="AU32" i="21"/>
  <c r="AU24" i="21"/>
  <c r="AU25" i="21"/>
  <c r="AU27" i="21"/>
  <c r="AU19" i="21"/>
  <c r="AU20" i="21"/>
  <c r="BI20" i="21" s="1"/>
  <c r="AU22" i="21"/>
  <c r="BG19" i="21"/>
  <c r="BG21" i="21"/>
  <c r="BG22" i="21"/>
  <c r="BG26" i="21"/>
  <c r="BG30" i="21"/>
  <c r="BI30" i="21" s="1"/>
  <c r="BG36" i="21"/>
  <c r="BG37" i="21"/>
  <c r="BG38" i="21"/>
  <c r="BG41" i="21"/>
  <c r="BG43" i="21"/>
  <c r="BG44" i="21"/>
  <c r="BG46" i="21"/>
  <c r="BG47" i="21"/>
  <c r="BG48" i="21"/>
  <c r="BG49" i="21"/>
  <c r="BG53" i="21"/>
  <c r="BG55" i="21"/>
  <c r="BG56" i="21"/>
  <c r="BI56" i="21" s="1"/>
  <c r="BG58" i="21"/>
  <c r="BG59" i="21"/>
  <c r="BG60" i="21"/>
  <c r="BG61" i="21"/>
  <c r="BG65" i="21"/>
  <c r="K22" i="21"/>
  <c r="K20" i="21"/>
  <c r="K22" i="19"/>
  <c r="K20" i="19"/>
  <c r="K19" i="19"/>
  <c r="AI27" i="21"/>
  <c r="K21" i="21"/>
  <c r="BI21" i="21" s="1"/>
  <c r="W60" i="21"/>
  <c r="K25" i="19"/>
  <c r="K26" i="19"/>
  <c r="K32" i="19"/>
  <c r="K37" i="19"/>
  <c r="K38" i="19"/>
  <c r="K39" i="19"/>
  <c r="K43" i="19"/>
  <c r="K44" i="19"/>
  <c r="K47" i="19"/>
  <c r="K60" i="19"/>
  <c r="K61" i="19"/>
  <c r="K64" i="19"/>
  <c r="W63" i="19"/>
  <c r="BI63" i="19" s="1"/>
  <c r="W64" i="19"/>
  <c r="W65" i="19"/>
  <c r="W66" i="19"/>
  <c r="W58" i="19"/>
  <c r="W59" i="19"/>
  <c r="W60" i="19"/>
  <c r="W53" i="19"/>
  <c r="W54" i="19"/>
  <c r="W55" i="19"/>
  <c r="W46" i="19"/>
  <c r="W47" i="19"/>
  <c r="W49" i="19"/>
  <c r="W41" i="19"/>
  <c r="W42" i="19"/>
  <c r="W36" i="19"/>
  <c r="W37" i="19"/>
  <c r="W39" i="19"/>
  <c r="W30" i="19"/>
  <c r="W31" i="19"/>
  <c r="W24" i="19"/>
  <c r="W27" i="19"/>
  <c r="W19" i="19"/>
  <c r="W21" i="19"/>
  <c r="W22" i="19"/>
  <c r="AI19" i="19"/>
  <c r="AI24" i="19"/>
  <c r="AI25" i="19"/>
  <c r="AI26" i="19"/>
  <c r="BI26" i="19" s="1"/>
  <c r="AI30" i="19"/>
  <c r="AI31" i="19"/>
  <c r="AI32" i="19"/>
  <c r="AI38" i="19"/>
  <c r="AI41" i="19"/>
  <c r="AI43" i="19"/>
  <c r="AI44" i="19"/>
  <c r="AI46" i="19"/>
  <c r="AI47" i="19"/>
  <c r="AI48" i="19"/>
  <c r="AI54" i="19"/>
  <c r="AI55" i="19"/>
  <c r="AI58" i="19"/>
  <c r="AI60" i="19"/>
  <c r="AI61" i="19"/>
  <c r="AI63" i="19"/>
  <c r="AI64" i="19"/>
  <c r="AU64" i="19"/>
  <c r="AU65" i="19"/>
  <c r="AU66" i="19"/>
  <c r="AU61" i="19"/>
  <c r="AU55" i="19"/>
  <c r="AU56" i="19"/>
  <c r="AU48" i="19"/>
  <c r="BI48" i="19" s="1"/>
  <c r="AU49" i="19"/>
  <c r="AU41" i="19"/>
  <c r="AU43" i="19"/>
  <c r="AU36" i="19"/>
  <c r="AU39" i="19"/>
  <c r="AU31" i="19"/>
  <c r="AU32" i="19"/>
  <c r="AU25" i="19"/>
  <c r="AU27" i="19"/>
  <c r="AU19" i="19"/>
  <c r="AU20" i="19"/>
  <c r="BG20" i="19"/>
  <c r="BG21" i="19"/>
  <c r="BG22" i="19"/>
  <c r="BG24" i="19"/>
  <c r="BG27" i="19"/>
  <c r="BG29" i="19"/>
  <c r="BG30" i="19"/>
  <c r="BG31" i="19"/>
  <c r="BG37" i="19"/>
  <c r="BG39" i="19"/>
  <c r="BG41" i="19"/>
  <c r="BG46" i="19"/>
  <c r="BG47" i="19"/>
  <c r="BG49" i="19"/>
  <c r="BG54" i="19"/>
  <c r="BG56" i="19"/>
  <c r="BG58" i="19"/>
  <c r="BG61" i="19"/>
  <c r="BG65" i="19"/>
  <c r="W19" i="21"/>
  <c r="BI19" i="21" s="1"/>
  <c r="BI64" i="21"/>
  <c r="BI38" i="21"/>
  <c r="BI59" i="21"/>
  <c r="BI27" i="21"/>
  <c r="BI41" i="21"/>
  <c r="BI58" i="21"/>
  <c r="BI46" i="21"/>
  <c r="BI48" i="21"/>
  <c r="C24" i="11"/>
  <c r="C22" i="11"/>
  <c r="C23" i="11"/>
  <c r="C17" i="25"/>
  <c r="C20" i="25"/>
  <c r="C19" i="11"/>
  <c r="C20" i="11"/>
  <c r="C17" i="11"/>
  <c r="C19" i="25"/>
  <c r="C18" i="25"/>
  <c r="C23" i="25"/>
  <c r="C25" i="25"/>
  <c r="C25" i="11"/>
  <c r="C24" i="25"/>
  <c r="C22" i="25"/>
  <c r="C18" i="11"/>
  <c r="C44" i="14" l="1"/>
  <c r="J67" i="15"/>
  <c r="P21" i="10" a="1"/>
  <c r="P21" i="10" s="1"/>
  <c r="C27" i="14"/>
  <c r="M47" i="15" s="1"/>
  <c r="C26" i="14"/>
  <c r="J47" i="15" s="1"/>
  <c r="C31" i="14"/>
  <c r="C43" i="14"/>
  <c r="J57" i="15" s="1"/>
  <c r="P34" i="24" a="1"/>
  <c r="P34" i="24" s="1"/>
  <c r="C33" i="24"/>
  <c r="N33" i="24" s="1"/>
  <c r="J71" i="15"/>
  <c r="J70" i="15" s="1"/>
  <c r="J68" i="15"/>
  <c r="J65" i="15" s="1"/>
  <c r="C61" i="14"/>
  <c r="M72" i="15" s="1"/>
  <c r="K59" i="14"/>
  <c r="G73" i="15" s="1"/>
  <c r="G69" i="15"/>
  <c r="G68" i="15"/>
  <c r="G67" i="15"/>
  <c r="G71" i="15"/>
  <c r="G72" i="15"/>
  <c r="G66" i="15"/>
  <c r="G65" i="15" s="1"/>
  <c r="C22" i="14"/>
  <c r="L45" i="15" s="1"/>
  <c r="C56" i="14"/>
  <c r="L69" i="15" s="1"/>
  <c r="K60" i="15"/>
  <c r="K59" i="15"/>
  <c r="K58" i="15" s="1"/>
  <c r="C63" i="14"/>
  <c r="E68" i="15" s="1"/>
  <c r="P23" i="10" a="1"/>
  <c r="P23" i="10" s="1"/>
  <c r="C25" i="14"/>
  <c r="N23" i="10"/>
  <c r="C42" i="14"/>
  <c r="G55" i="15" s="1"/>
  <c r="P19" i="10" a="1"/>
  <c r="P19" i="10" s="1"/>
  <c r="C31" i="24"/>
  <c r="C46" i="14"/>
  <c r="E54" i="15" s="1"/>
  <c r="N36" i="24"/>
  <c r="C66" i="14"/>
  <c r="N41" i="24"/>
  <c r="N38" i="24"/>
  <c r="P38" i="24" a="1"/>
  <c r="P38" i="24" s="1"/>
  <c r="C30" i="24"/>
  <c r="C12" i="11"/>
  <c r="I12" i="11" s="1"/>
  <c r="K12" i="11" s="1"/>
  <c r="C13" i="11"/>
  <c r="C14" i="11"/>
  <c r="I14" i="11" s="1"/>
  <c r="K14" i="11" s="1"/>
  <c r="C15" i="11"/>
  <c r="I15" i="11" s="1"/>
  <c r="K15" i="11" s="1"/>
  <c r="I44" i="15"/>
  <c r="I43" i="15"/>
  <c r="I42" i="15"/>
  <c r="I45" i="15"/>
  <c r="I48" i="15"/>
  <c r="P30" i="24" a="1"/>
  <c r="P30" i="24" s="1"/>
  <c r="N30" i="24"/>
  <c r="K44" i="14"/>
  <c r="C30" i="14"/>
  <c r="H47" i="15" s="1"/>
  <c r="C64" i="14"/>
  <c r="H69" i="15" s="1"/>
  <c r="K25" i="14"/>
  <c r="G49" i="15" s="1"/>
  <c r="N15" i="10"/>
  <c r="P16" i="10" a="1"/>
  <c r="P16" i="10" s="1"/>
  <c r="K26" i="14"/>
  <c r="BI26" i="14" s="1"/>
  <c r="N37" i="24"/>
  <c r="P39" i="24" a="1"/>
  <c r="P39" i="24" s="1"/>
  <c r="N24" i="10"/>
  <c r="BI60" i="14"/>
  <c r="P17" i="10" a="1"/>
  <c r="P17" i="10" s="1"/>
  <c r="C38" i="14"/>
  <c r="K27" i="14"/>
  <c r="BI27" i="14" s="1"/>
  <c r="C14" i="10"/>
  <c r="N14" i="10" s="1"/>
  <c r="P37" i="24" a="1"/>
  <c r="P37" i="24" s="1"/>
  <c r="P40" i="24" a="1"/>
  <c r="P40" i="24" s="1"/>
  <c r="N45" i="15"/>
  <c r="N41" i="15" s="1"/>
  <c r="P15" i="10" a="1"/>
  <c r="P15" i="10" s="1"/>
  <c r="C39" i="14"/>
  <c r="N42" i="24"/>
  <c r="M57" i="15"/>
  <c r="N16" i="10"/>
  <c r="N43" i="24"/>
  <c r="C32" i="24"/>
  <c r="C47" i="14"/>
  <c r="H60" i="15" s="1"/>
  <c r="J48" i="15"/>
  <c r="J46" i="15" s="1"/>
  <c r="C55" i="14"/>
  <c r="J42" i="15"/>
  <c r="P22" i="10" a="1"/>
  <c r="P22" i="10" s="1"/>
  <c r="M59" i="15"/>
  <c r="K32" i="14"/>
  <c r="BI32" i="14" s="1"/>
  <c r="J44" i="15"/>
  <c r="N47" i="15"/>
  <c r="N46" i="15" s="1"/>
  <c r="F21" i="26"/>
  <c r="D21" i="26"/>
  <c r="G21" i="26"/>
  <c r="E21" i="26"/>
  <c r="C11" i="26"/>
  <c r="C13" i="10"/>
  <c r="D94" i="15"/>
  <c r="M189" i="15"/>
  <c r="I184" i="15"/>
  <c r="H99" i="15"/>
  <c r="N87" i="15"/>
  <c r="K204" i="15"/>
  <c r="N121" i="15"/>
  <c r="F99" i="15"/>
  <c r="L94" i="15"/>
  <c r="I145" i="15"/>
  <c r="E150" i="15"/>
  <c r="H160" i="15"/>
  <c r="H216" i="15"/>
  <c r="M87" i="15"/>
  <c r="L223" i="15"/>
  <c r="L111" i="15"/>
  <c r="E204" i="15"/>
  <c r="L145" i="15"/>
  <c r="H87" i="15"/>
  <c r="D133" i="15"/>
  <c r="G133" i="15"/>
  <c r="I150" i="15"/>
  <c r="D228" i="15"/>
  <c r="C199" i="15"/>
  <c r="L82" i="15"/>
  <c r="L126" i="15"/>
  <c r="N165" i="15"/>
  <c r="I111" i="15"/>
  <c r="M216" i="15"/>
  <c r="K106" i="15"/>
  <c r="I126" i="15"/>
  <c r="F126" i="15"/>
  <c r="E82" i="15"/>
  <c r="I99" i="15"/>
  <c r="G94" i="15"/>
  <c r="J177" i="15"/>
  <c r="H172" i="15"/>
  <c r="D184" i="15"/>
  <c r="K223" i="15"/>
  <c r="F199" i="15"/>
  <c r="L106" i="15"/>
  <c r="H94" i="15"/>
  <c r="N133" i="15"/>
  <c r="F138" i="15"/>
  <c r="J228" i="15"/>
  <c r="N177" i="15"/>
  <c r="G70" i="15"/>
  <c r="L99" i="15"/>
  <c r="I138" i="15"/>
  <c r="K133" i="15"/>
  <c r="L150" i="15"/>
  <c r="C177" i="15"/>
  <c r="N172" i="15"/>
  <c r="J189" i="15"/>
  <c r="G184" i="15"/>
  <c r="C82" i="15"/>
  <c r="M177" i="15"/>
  <c r="E199" i="15"/>
  <c r="J94" i="15"/>
  <c r="N106" i="15"/>
  <c r="H126" i="15"/>
  <c r="E177" i="15"/>
  <c r="F204" i="15"/>
  <c r="N99" i="15"/>
  <c r="M165" i="15"/>
  <c r="M99" i="15"/>
  <c r="H106" i="15"/>
  <c r="I172" i="15"/>
  <c r="H133" i="15"/>
  <c r="G121" i="15"/>
  <c r="J216" i="15"/>
  <c r="D87" i="15"/>
  <c r="D199" i="15"/>
  <c r="D121" i="15"/>
  <c r="F87" i="15"/>
  <c r="I22" i="25"/>
  <c r="C13" i="25"/>
  <c r="I18" i="25"/>
  <c r="K18" i="25" s="1"/>
  <c r="I23" i="25"/>
  <c r="K23" i="25" s="1"/>
  <c r="I24" i="25"/>
  <c r="K24" i="25" s="1"/>
  <c r="C15" i="25"/>
  <c r="I20" i="25"/>
  <c r="K20" i="25" s="1"/>
  <c r="I25" i="25"/>
  <c r="K25" i="25" s="1"/>
  <c r="I19" i="25"/>
  <c r="K19" i="25" s="1"/>
  <c r="C14" i="25"/>
  <c r="I17" i="25"/>
  <c r="K17" i="25" s="1"/>
  <c r="C12" i="25"/>
  <c r="N145" i="15"/>
  <c r="G160" i="15"/>
  <c r="M145" i="15"/>
  <c r="N211" i="15"/>
  <c r="L184" i="15"/>
  <c r="G189" i="15"/>
  <c r="L199" i="15"/>
  <c r="F94" i="15"/>
  <c r="E121" i="15"/>
  <c r="E160" i="15"/>
  <c r="D172" i="15"/>
  <c r="K172" i="15"/>
  <c r="H223" i="15"/>
  <c r="E211" i="15"/>
  <c r="I160" i="15"/>
  <c r="F82" i="15"/>
  <c r="L204" i="15"/>
  <c r="E133" i="15"/>
  <c r="M172" i="15"/>
  <c r="K145" i="15"/>
  <c r="H199" i="15"/>
  <c r="G216" i="15"/>
  <c r="I199" i="15"/>
  <c r="C138" i="15"/>
  <c r="E106" i="15"/>
  <c r="G82" i="15"/>
  <c r="C121" i="15"/>
  <c r="M138" i="15"/>
  <c r="K199" i="15"/>
  <c r="J133" i="15"/>
  <c r="K165" i="15"/>
  <c r="D204" i="15"/>
  <c r="J99" i="15"/>
  <c r="C6" i="19"/>
  <c r="E111" i="15"/>
  <c r="G177" i="15"/>
  <c r="D138" i="15"/>
  <c r="C126" i="15"/>
  <c r="K211" i="15"/>
  <c r="F106" i="15"/>
  <c r="G199" i="15"/>
  <c r="N82" i="15"/>
  <c r="C94" i="15"/>
  <c r="H145" i="15"/>
  <c r="J82" i="15"/>
  <c r="K82" i="15"/>
  <c r="I133" i="15"/>
  <c r="N184" i="15"/>
  <c r="E223" i="15"/>
  <c r="K94" i="15"/>
  <c r="H111" i="15"/>
  <c r="C133" i="15"/>
  <c r="F189" i="15"/>
  <c r="D211" i="15"/>
  <c r="N228" i="15"/>
  <c r="L216" i="15"/>
  <c r="H82" i="15"/>
  <c r="J223" i="15"/>
  <c r="H184" i="15"/>
  <c r="D82" i="15"/>
  <c r="M94" i="15"/>
  <c r="F211" i="15"/>
  <c r="D106" i="15"/>
  <c r="G106" i="15"/>
  <c r="F145" i="15"/>
  <c r="I177" i="15"/>
  <c r="G211" i="15"/>
  <c r="D216" i="15"/>
  <c r="H211" i="15"/>
  <c r="H228" i="15"/>
  <c r="J199" i="15"/>
  <c r="D160" i="15"/>
  <c r="L121" i="15"/>
  <c r="M133" i="15"/>
  <c r="N138" i="15"/>
  <c r="N189" i="15"/>
  <c r="M228" i="15"/>
  <c r="P14" i="24" a="1"/>
  <c r="P14" i="24" s="1"/>
  <c r="N26" i="24"/>
  <c r="C145" i="15"/>
  <c r="L160" i="15"/>
  <c r="C15" i="24"/>
  <c r="P20" i="24" a="1"/>
  <c r="P20" i="24" s="1"/>
  <c r="N20" i="24"/>
  <c r="C87" i="15"/>
  <c r="P22" i="24" a="1"/>
  <c r="P22" i="24" s="1"/>
  <c r="F111" i="15"/>
  <c r="N223" i="15"/>
  <c r="N21" i="24"/>
  <c r="N23" i="24"/>
  <c r="C204" i="15"/>
  <c r="P23" i="24" a="1"/>
  <c r="P23" i="24" s="1"/>
  <c r="K121" i="15"/>
  <c r="J145" i="15"/>
  <c r="E189" i="15"/>
  <c r="C211" i="15"/>
  <c r="E94" i="15"/>
  <c r="C160" i="15"/>
  <c r="M160" i="15"/>
  <c r="I106" i="15"/>
  <c r="P12" i="24" a="1"/>
  <c r="P12" i="24" s="1"/>
  <c r="N13" i="24"/>
  <c r="F133" i="15"/>
  <c r="M223" i="15"/>
  <c r="I94" i="15"/>
  <c r="D111" i="15"/>
  <c r="C184" i="15"/>
  <c r="G145" i="15"/>
  <c r="D99" i="15"/>
  <c r="M106" i="15"/>
  <c r="N199" i="15"/>
  <c r="H29" i="24"/>
  <c r="H17" i="24"/>
  <c r="H22" i="24"/>
  <c r="C16" i="24"/>
  <c r="H34" i="24"/>
  <c r="E126" i="15"/>
  <c r="G223" i="15"/>
  <c r="D145" i="15"/>
  <c r="G172" i="15"/>
  <c r="K126" i="15"/>
  <c r="D223" i="15"/>
  <c r="K160" i="15"/>
  <c r="E172" i="15"/>
  <c r="J184" i="15"/>
  <c r="C223" i="15"/>
  <c r="I223" i="15"/>
  <c r="I121" i="15"/>
  <c r="I82" i="15"/>
  <c r="F160" i="15"/>
  <c r="F121" i="15"/>
  <c r="M199" i="15"/>
  <c r="I17" i="24"/>
  <c r="I22" i="24"/>
  <c r="I39" i="24"/>
  <c r="P18" i="24" a="1"/>
  <c r="P18" i="24" s="1"/>
  <c r="P17" i="24" a="1"/>
  <c r="P17" i="24" s="1"/>
  <c r="I29" i="24"/>
  <c r="I34" i="24"/>
  <c r="C22" i="15"/>
  <c r="C27" i="15"/>
  <c r="J39" i="24"/>
  <c r="E27" i="15"/>
  <c r="N25" i="24"/>
  <c r="L57" i="15"/>
  <c r="L22" i="15"/>
  <c r="I67" i="15"/>
  <c r="K21" i="14"/>
  <c r="I72" i="15"/>
  <c r="I47" i="15"/>
  <c r="I46" i="15" s="1"/>
  <c r="I27" i="15"/>
  <c r="F27" i="15"/>
  <c r="F22" i="15"/>
  <c r="L27" i="15"/>
  <c r="I22" i="15"/>
  <c r="N55" i="15"/>
  <c r="N54" i="15"/>
  <c r="N59" i="15"/>
  <c r="K49" i="14"/>
  <c r="N60" i="15"/>
  <c r="N56" i="15"/>
  <c r="N57" i="15"/>
  <c r="H27" i="15"/>
  <c r="K22" i="15"/>
  <c r="K71" i="15"/>
  <c r="K72" i="15"/>
  <c r="K56" i="15"/>
  <c r="K55" i="15"/>
  <c r="K54" i="15"/>
  <c r="K68" i="15"/>
  <c r="K65" i="14"/>
  <c r="K67" i="15"/>
  <c r="H22" i="15"/>
  <c r="K57" i="15"/>
  <c r="K48" i="14"/>
  <c r="N22" i="15"/>
  <c r="H72" i="15"/>
  <c r="K27" i="15"/>
  <c r="H71" i="15"/>
  <c r="N27" i="15"/>
  <c r="E22" i="15"/>
  <c r="E44" i="15"/>
  <c r="K29" i="14"/>
  <c r="E42" i="15"/>
  <c r="E48" i="15"/>
  <c r="E43" i="15"/>
  <c r="E47" i="15"/>
  <c r="E45" i="15"/>
  <c r="M48" i="15"/>
  <c r="M46" i="15" s="1"/>
  <c r="M45" i="15"/>
  <c r="M42" i="15"/>
  <c r="M60" i="15"/>
  <c r="M44" i="15"/>
  <c r="M43" i="15"/>
  <c r="K43" i="14"/>
  <c r="J49" i="15"/>
  <c r="J43" i="15"/>
  <c r="J45" i="15"/>
  <c r="J27" i="15"/>
  <c r="G47" i="15"/>
  <c r="J22" i="15"/>
  <c r="G42" i="15"/>
  <c r="G27" i="15"/>
  <c r="D27" i="15"/>
  <c r="BI59" i="14"/>
  <c r="G48" i="15"/>
  <c r="G43" i="15"/>
  <c r="M22" i="15"/>
  <c r="M27" i="15"/>
  <c r="G22" i="15"/>
  <c r="D22" i="15"/>
  <c r="D67" i="15"/>
  <c r="D69" i="15"/>
  <c r="D66" i="15"/>
  <c r="K58" i="14"/>
  <c r="D71" i="15"/>
  <c r="D68" i="15"/>
  <c r="D72" i="15"/>
  <c r="C41" i="14"/>
  <c r="P18" i="10" a="1"/>
  <c r="P18" i="10" s="1"/>
  <c r="C24" i="14"/>
  <c r="I20" i="11"/>
  <c r="K20" i="11" s="1"/>
  <c r="I19" i="11"/>
  <c r="K19" i="11" s="1"/>
  <c r="I18" i="11"/>
  <c r="K18" i="11" s="1"/>
  <c r="I17" i="11"/>
  <c r="K17" i="11" s="1"/>
  <c r="I25" i="11"/>
  <c r="K25" i="11" s="1"/>
  <c r="I24" i="11"/>
  <c r="K24" i="11"/>
  <c r="I23" i="11"/>
  <c r="K23" i="11" s="1"/>
  <c r="I22" i="11"/>
  <c r="K22" i="11" s="1"/>
  <c r="BI65" i="21"/>
  <c r="BI36" i="21"/>
  <c r="BI24" i="21"/>
  <c r="BI52" i="21" a="1"/>
  <c r="BI52" i="21" s="1"/>
  <c r="BI18" i="21" a="1"/>
  <c r="BI18" i="21" s="1"/>
  <c r="BI35" i="21" a="1"/>
  <c r="BI35" i="21" s="1"/>
  <c r="BI35" i="19" a="1"/>
  <c r="BI35" i="19" s="1"/>
  <c r="BI64" i="19"/>
  <c r="BI56" i="19"/>
  <c r="BI52" i="19" a="1"/>
  <c r="BI52" i="19" s="1"/>
  <c r="BI61" i="19"/>
  <c r="BI41" i="19"/>
  <c r="BI65" i="19"/>
  <c r="BI59" i="19"/>
  <c r="BI37" i="19"/>
  <c r="BI27" i="19"/>
  <c r="BI25" i="19"/>
  <c r="BI30" i="19"/>
  <c r="BI31" i="19"/>
  <c r="BI29" i="19"/>
  <c r="BI38" i="19"/>
  <c r="BI36" i="19"/>
  <c r="BI55" i="19"/>
  <c r="BI66" i="19"/>
  <c r="BI58" i="19"/>
  <c r="BI53" i="19"/>
  <c r="BI46" i="19"/>
  <c r="BI42" i="19"/>
  <c r="BI22" i="19"/>
  <c r="BI20" i="19"/>
  <c r="BI19" i="19"/>
  <c r="BI21" i="19"/>
  <c r="BI18" i="19" a="1"/>
  <c r="BI18" i="19" s="1"/>
  <c r="BI24" i="19"/>
  <c r="BI32" i="19"/>
  <c r="BI39" i="19"/>
  <c r="BI44" i="19"/>
  <c r="BI43" i="19"/>
  <c r="BI49" i="19"/>
  <c r="BI47" i="19"/>
  <c r="BI60" i="19"/>
  <c r="BI54" i="19"/>
  <c r="D19" i="13"/>
  <c r="D22" i="13"/>
  <c r="E21" i="13"/>
  <c r="D20" i="13"/>
  <c r="P29" i="24" l="1" a="1"/>
  <c r="P29" i="24" s="1"/>
  <c r="P11" i="24" a="1"/>
  <c r="P11" i="24" s="1"/>
  <c r="M70" i="15"/>
  <c r="H55" i="15"/>
  <c r="P33" i="24" a="1"/>
  <c r="P33" i="24" s="1"/>
  <c r="K44" i="15"/>
  <c r="K45" i="15"/>
  <c r="K48" i="15"/>
  <c r="K42" i="15"/>
  <c r="N49" i="15"/>
  <c r="L67" i="15"/>
  <c r="H48" i="15"/>
  <c r="H46" i="15" s="1"/>
  <c r="J60" i="15"/>
  <c r="K56" i="14"/>
  <c r="M67" i="15"/>
  <c r="K61" i="14"/>
  <c r="M66" i="15"/>
  <c r="M71" i="15"/>
  <c r="M69" i="15"/>
  <c r="M68" i="15"/>
  <c r="H66" i="15"/>
  <c r="L71" i="15"/>
  <c r="L66" i="15"/>
  <c r="J55" i="15"/>
  <c r="K43" i="15"/>
  <c r="I41" i="15"/>
  <c r="E72" i="15"/>
  <c r="L72" i="15"/>
  <c r="E60" i="15"/>
  <c r="H68" i="15"/>
  <c r="L68" i="15"/>
  <c r="K31" i="14"/>
  <c r="J56" i="15"/>
  <c r="J59" i="15"/>
  <c r="J54" i="15"/>
  <c r="E56" i="15"/>
  <c r="H67" i="15"/>
  <c r="L42" i="15"/>
  <c r="K47" i="15"/>
  <c r="K46" i="15" s="1"/>
  <c r="C54" i="14"/>
  <c r="G56" i="15"/>
  <c r="K64" i="14"/>
  <c r="M55" i="15"/>
  <c r="M54" i="15"/>
  <c r="M53" i="15" s="1"/>
  <c r="M56" i="15"/>
  <c r="N66" i="15"/>
  <c r="N65" i="15" s="1"/>
  <c r="K66" i="14"/>
  <c r="N68" i="15"/>
  <c r="N72" i="15"/>
  <c r="G54" i="15"/>
  <c r="G53" i="15" s="1"/>
  <c r="M58" i="15"/>
  <c r="K63" i="14"/>
  <c r="E73" i="15" s="1"/>
  <c r="L47" i="15"/>
  <c r="E57" i="15"/>
  <c r="E59" i="15"/>
  <c r="K46" i="14"/>
  <c r="E55" i="15"/>
  <c r="E53" i="15" s="1"/>
  <c r="K42" i="14"/>
  <c r="BI42" i="14" s="1"/>
  <c r="G60" i="15"/>
  <c r="H57" i="15"/>
  <c r="L48" i="15"/>
  <c r="P31" i="24" a="1"/>
  <c r="P31" i="24" s="1"/>
  <c r="N31" i="24"/>
  <c r="L43" i="15"/>
  <c r="M49" i="15"/>
  <c r="G59" i="15"/>
  <c r="K22" i="14"/>
  <c r="L49" i="15" s="1"/>
  <c r="E71" i="15"/>
  <c r="E70" i="15" s="1"/>
  <c r="L44" i="15"/>
  <c r="G44" i="15"/>
  <c r="G45" i="15"/>
  <c r="G41" i="15" s="1"/>
  <c r="E58" i="15"/>
  <c r="K47" i="14"/>
  <c r="BI47" i="14" s="1"/>
  <c r="E66" i="15"/>
  <c r="N69" i="15"/>
  <c r="N71" i="15"/>
  <c r="E69" i="15"/>
  <c r="K21" i="11" a="1"/>
  <c r="K21" i="11" s="1"/>
  <c r="BI25" i="14"/>
  <c r="N67" i="15"/>
  <c r="E67" i="15"/>
  <c r="G57" i="15"/>
  <c r="BI44" i="14"/>
  <c r="M61" i="15"/>
  <c r="E18" i="2"/>
  <c r="D18" i="2"/>
  <c r="I18" i="2" s="1"/>
  <c r="G18" i="2"/>
  <c r="F18" i="2"/>
  <c r="C13" i="2"/>
  <c r="I21" i="26"/>
  <c r="I68" i="15"/>
  <c r="K55" i="14"/>
  <c r="I66" i="15"/>
  <c r="I69" i="15"/>
  <c r="I71" i="15"/>
  <c r="I70" i="15" s="1"/>
  <c r="F17" i="2"/>
  <c r="E17" i="2"/>
  <c r="D17" i="2"/>
  <c r="G17" i="2"/>
  <c r="C12" i="2"/>
  <c r="H54" i="15"/>
  <c r="H53" i="15" s="1"/>
  <c r="H56" i="15"/>
  <c r="I13" i="11"/>
  <c r="K13" i="11" s="1"/>
  <c r="N32" i="24"/>
  <c r="P32" i="24" a="1"/>
  <c r="P32" i="24" s="1"/>
  <c r="E23" i="26"/>
  <c r="G23" i="26"/>
  <c r="F23" i="26"/>
  <c r="D23" i="26"/>
  <c r="G22" i="26"/>
  <c r="F22" i="26"/>
  <c r="E22" i="26"/>
  <c r="D22" i="26"/>
  <c r="C10" i="2"/>
  <c r="C37" i="14"/>
  <c r="F56" i="15" s="1"/>
  <c r="F18" i="26"/>
  <c r="E18" i="26"/>
  <c r="D18" i="26"/>
  <c r="G18" i="26"/>
  <c r="C13" i="26"/>
  <c r="D23" i="2"/>
  <c r="N13" i="15" s="1"/>
  <c r="G23" i="2"/>
  <c r="N15" i="15" s="1"/>
  <c r="F23" i="2"/>
  <c r="E23" i="2"/>
  <c r="P14" i="10" a="1"/>
  <c r="P14" i="10" s="1"/>
  <c r="I55" i="15"/>
  <c r="I59" i="15"/>
  <c r="I57" i="15"/>
  <c r="I54" i="15"/>
  <c r="I60" i="15"/>
  <c r="I56" i="15"/>
  <c r="K38" i="14"/>
  <c r="G17" i="26"/>
  <c r="E17" i="26"/>
  <c r="F17" i="26"/>
  <c r="D17" i="26"/>
  <c r="C12" i="26"/>
  <c r="F22" i="2"/>
  <c r="E22" i="2"/>
  <c r="G22" i="2"/>
  <c r="K15" i="15" s="1"/>
  <c r="K13" i="15"/>
  <c r="K14" i="15" s="1"/>
  <c r="BI22" i="14"/>
  <c r="G16" i="26"/>
  <c r="F16" i="26"/>
  <c r="D16" i="26"/>
  <c r="D11" i="26" s="1"/>
  <c r="E16" i="26"/>
  <c r="E11" i="26" s="1"/>
  <c r="F21" i="2"/>
  <c r="E21" i="2"/>
  <c r="D21" i="2"/>
  <c r="G21" i="2"/>
  <c r="H13" i="15"/>
  <c r="F16" i="2"/>
  <c r="E16" i="2"/>
  <c r="D16" i="2"/>
  <c r="D15" i="2" s="1"/>
  <c r="G16" i="2"/>
  <c r="C11" i="2"/>
  <c r="F69" i="15"/>
  <c r="H59" i="15"/>
  <c r="H58" i="15" s="1"/>
  <c r="C20" i="14"/>
  <c r="F47" i="15" s="1"/>
  <c r="L56" i="15"/>
  <c r="L55" i="15"/>
  <c r="L59" i="15"/>
  <c r="L60" i="15"/>
  <c r="K39" i="14"/>
  <c r="L54" i="15"/>
  <c r="L53" i="15" s="1"/>
  <c r="K30" i="14"/>
  <c r="H42" i="15"/>
  <c r="H44" i="15"/>
  <c r="H45" i="15"/>
  <c r="H43" i="15"/>
  <c r="F55" i="15"/>
  <c r="K37" i="14"/>
  <c r="F54" i="15"/>
  <c r="F60" i="15"/>
  <c r="F57" i="15"/>
  <c r="G11" i="26"/>
  <c r="F66" i="15"/>
  <c r="F72" i="15"/>
  <c r="F67" i="15"/>
  <c r="K54" i="14"/>
  <c r="L70" i="15"/>
  <c r="C10" i="26"/>
  <c r="C36" i="14"/>
  <c r="P11" i="10" a="1"/>
  <c r="P11" i="10" s="1"/>
  <c r="C53" i="14"/>
  <c r="P12" i="10" a="1"/>
  <c r="P12" i="10" s="1"/>
  <c r="C19" i="14"/>
  <c r="P13" i="10" a="1"/>
  <c r="P13" i="10" s="1"/>
  <c r="N13" i="10"/>
  <c r="K21" i="25" a="1"/>
  <c r="K21" i="25" s="1"/>
  <c r="K16" i="25" a="1"/>
  <c r="K16" i="25" s="1"/>
  <c r="I15" i="25"/>
  <c r="K15" i="25" s="1"/>
  <c r="I12" i="25"/>
  <c r="K12" i="25" s="1"/>
  <c r="I14" i="25"/>
  <c r="K14" i="25" s="1"/>
  <c r="I13" i="25"/>
  <c r="L65" i="15"/>
  <c r="K65" i="15"/>
  <c r="N58" i="15"/>
  <c r="K22" i="25"/>
  <c r="P15" i="24" a="1"/>
  <c r="P15" i="24" s="1"/>
  <c r="N15" i="24"/>
  <c r="N16" i="24"/>
  <c r="P16" i="24" a="1"/>
  <c r="P16" i="24" s="1"/>
  <c r="K70" i="15"/>
  <c r="M41" i="15"/>
  <c r="BI21" i="14"/>
  <c r="I49" i="15"/>
  <c r="N53" i="15"/>
  <c r="BI49" i="14"/>
  <c r="N61" i="15"/>
  <c r="K53" i="15"/>
  <c r="H70" i="15"/>
  <c r="BI65" i="14"/>
  <c r="K73" i="15"/>
  <c r="BI48" i="14"/>
  <c r="K61" i="15"/>
  <c r="H73" i="15"/>
  <c r="BI64" i="14"/>
  <c r="H65" i="15"/>
  <c r="H61" i="15"/>
  <c r="E46" i="15"/>
  <c r="E41" i="15"/>
  <c r="BI29" i="14"/>
  <c r="E49" i="15"/>
  <c r="J41" i="15"/>
  <c r="BI43" i="14"/>
  <c r="J61" i="15"/>
  <c r="G46" i="15"/>
  <c r="D70" i="15"/>
  <c r="D65" i="15"/>
  <c r="D57" i="15"/>
  <c r="D60" i="15"/>
  <c r="D59" i="15"/>
  <c r="K41" i="14"/>
  <c r="D55" i="15"/>
  <c r="D54" i="15"/>
  <c r="D56" i="15"/>
  <c r="D44" i="15"/>
  <c r="D45" i="15"/>
  <c r="D43" i="15"/>
  <c r="D47" i="15"/>
  <c r="D48" i="15"/>
  <c r="D42" i="15"/>
  <c r="K24" i="14"/>
  <c r="D73" i="15"/>
  <c r="BI58" i="14"/>
  <c r="K16" i="11" a="1"/>
  <c r="K16" i="11" s="1"/>
  <c r="K11" i="11" a="1"/>
  <c r="K11" i="11" s="1"/>
  <c r="BI56" i="14" l="1"/>
  <c r="L73" i="15"/>
  <c r="I65" i="15"/>
  <c r="K41" i="15"/>
  <c r="K49" i="15"/>
  <c r="BI31" i="14"/>
  <c r="N70" i="15"/>
  <c r="L41" i="15"/>
  <c r="L46" i="15"/>
  <c r="I22" i="2"/>
  <c r="J53" i="15"/>
  <c r="I21" i="2"/>
  <c r="J58" i="15"/>
  <c r="E65" i="15"/>
  <c r="F71" i="15"/>
  <c r="F70" i="15" s="1"/>
  <c r="F68" i="15"/>
  <c r="F65" i="15" s="1"/>
  <c r="M65" i="15"/>
  <c r="F59" i="15"/>
  <c r="G61" i="15"/>
  <c r="F42" i="15"/>
  <c r="E12" i="2"/>
  <c r="M73" i="15"/>
  <c r="BI61" i="14"/>
  <c r="N14" i="15"/>
  <c r="D20" i="2"/>
  <c r="H14" i="15"/>
  <c r="G12" i="26"/>
  <c r="D20" i="26"/>
  <c r="G20" i="26"/>
  <c r="D12" i="26"/>
  <c r="I22" i="26"/>
  <c r="F20" i="26"/>
  <c r="I19" i="26" s="1" a="1"/>
  <c r="I19" i="26" s="1"/>
  <c r="BI46" i="14"/>
  <c r="E61" i="15"/>
  <c r="BI63" i="14"/>
  <c r="E12" i="26"/>
  <c r="M13" i="15"/>
  <c r="M14" i="15" s="1"/>
  <c r="F13" i="2"/>
  <c r="D12" i="2"/>
  <c r="I13" i="15" s="1"/>
  <c r="E20" i="26"/>
  <c r="F13" i="26"/>
  <c r="F44" i="15"/>
  <c r="G58" i="15"/>
  <c r="BI66" i="14"/>
  <c r="N73" i="15"/>
  <c r="L58" i="15"/>
  <c r="K20" i="14"/>
  <c r="F49" i="15" s="1"/>
  <c r="F45" i="15"/>
  <c r="D15" i="26"/>
  <c r="D10" i="26" s="1"/>
  <c r="G15" i="2"/>
  <c r="G11" i="2"/>
  <c r="F15" i="15" s="1"/>
  <c r="G15" i="15"/>
  <c r="I23" i="26"/>
  <c r="L61" i="15"/>
  <c r="BI39" i="14"/>
  <c r="F15" i="26"/>
  <c r="F11" i="26"/>
  <c r="I11" i="26" s="1"/>
  <c r="F48" i="15"/>
  <c r="F46" i="15" s="1"/>
  <c r="E11" i="2"/>
  <c r="E15" i="2"/>
  <c r="G15" i="26"/>
  <c r="F12" i="26"/>
  <c r="I23" i="2"/>
  <c r="I17" i="2"/>
  <c r="J13" i="15"/>
  <c r="J14" i="15" s="1"/>
  <c r="D11" i="2"/>
  <c r="I11" i="2" s="1"/>
  <c r="I18" i="26"/>
  <c r="F43" i="15"/>
  <c r="F11" i="2"/>
  <c r="F15" i="2"/>
  <c r="G12" i="2"/>
  <c r="I15" i="15" s="1"/>
  <c r="J15" i="15"/>
  <c r="G13" i="2"/>
  <c r="L15" i="15" s="1"/>
  <c r="M15" i="15"/>
  <c r="G20" i="2"/>
  <c r="H15" i="15"/>
  <c r="F12" i="2"/>
  <c r="D13" i="2"/>
  <c r="L13" i="15" s="1"/>
  <c r="E13" i="2"/>
  <c r="K11" i="25" a="1"/>
  <c r="K11" i="25" s="1"/>
  <c r="E20" i="2"/>
  <c r="I53" i="15"/>
  <c r="G10" i="26"/>
  <c r="F20" i="2"/>
  <c r="G13" i="26"/>
  <c r="BI38" i="14"/>
  <c r="I61" i="15"/>
  <c r="H41" i="15"/>
  <c r="G13" i="15"/>
  <c r="G14" i="15" s="1"/>
  <c r="I16" i="26"/>
  <c r="I58" i="15"/>
  <c r="D13" i="26"/>
  <c r="BI55" i="14"/>
  <c r="I73" i="15"/>
  <c r="BI30" i="14"/>
  <c r="H49" i="15"/>
  <c r="I16" i="2"/>
  <c r="E15" i="26"/>
  <c r="E10" i="26" s="1"/>
  <c r="I17" i="26"/>
  <c r="E13" i="26"/>
  <c r="F61" i="15"/>
  <c r="BI37" i="14"/>
  <c r="F73" i="15"/>
  <c r="BI54" i="14"/>
  <c r="F53" i="15"/>
  <c r="F58" i="15"/>
  <c r="C42" i="15"/>
  <c r="C47" i="15"/>
  <c r="C43" i="15"/>
  <c r="C48" i="15"/>
  <c r="C44" i="15"/>
  <c r="C45" i="15"/>
  <c r="K19" i="14"/>
  <c r="BI18" i="14" s="1" a="1"/>
  <c r="BI18" i="14" s="1"/>
  <c r="C68" i="15"/>
  <c r="C67" i="15"/>
  <c r="C69" i="15"/>
  <c r="C66" i="15"/>
  <c r="C71" i="15"/>
  <c r="K53" i="14"/>
  <c r="C72" i="15"/>
  <c r="C60" i="15"/>
  <c r="C54" i="15"/>
  <c r="C55" i="15"/>
  <c r="C57" i="15"/>
  <c r="K36" i="14"/>
  <c r="C59" i="15"/>
  <c r="C58" i="15" s="1"/>
  <c r="C56" i="15"/>
  <c r="K13" i="25"/>
  <c r="D41" i="15"/>
  <c r="BI41" i="14"/>
  <c r="D61" i="15"/>
  <c r="BI24" i="14"/>
  <c r="D49" i="15"/>
  <c r="D46" i="15"/>
  <c r="D53" i="15"/>
  <c r="D58" i="15"/>
  <c r="BI35" i="14" a="1"/>
  <c r="BI35" i="14" s="1"/>
  <c r="BI20" i="14" l="1"/>
  <c r="F41" i="15"/>
  <c r="I12" i="26"/>
  <c r="F13" i="15"/>
  <c r="F14" i="15" s="1"/>
  <c r="I14" i="15"/>
  <c r="E15" i="15"/>
  <c r="E13" i="15"/>
  <c r="E14" i="15" s="1"/>
  <c r="L14" i="15"/>
  <c r="I20" i="26"/>
  <c r="I13" i="26"/>
  <c r="I14" i="26" a="1"/>
  <c r="I14" i="26" s="1"/>
  <c r="F10" i="26"/>
  <c r="I10" i="26" s="1"/>
  <c r="I20" i="2"/>
  <c r="I12" i="2"/>
  <c r="C65" i="15"/>
  <c r="D10" i="2"/>
  <c r="I15" i="2"/>
  <c r="I14" i="2" a="1"/>
  <c r="I14" i="2" s="1"/>
  <c r="D13" i="15"/>
  <c r="D14" i="15" s="1"/>
  <c r="F10" i="2"/>
  <c r="I15" i="26"/>
  <c r="I13" i="2"/>
  <c r="E10" i="2"/>
  <c r="G10" i="2"/>
  <c r="D15" i="15"/>
  <c r="I19" i="2" a="1"/>
  <c r="I19" i="2" s="1"/>
  <c r="C70" i="15"/>
  <c r="C61" i="15"/>
  <c r="BI36" i="14"/>
  <c r="BI19" i="14"/>
  <c r="C49" i="15"/>
  <c r="C53" i="15"/>
  <c r="C46" i="15"/>
  <c r="BI53" i="14"/>
  <c r="C73" i="15"/>
  <c r="BI52" i="14" a="1"/>
  <c r="BI52" i="14" s="1"/>
  <c r="C41" i="15"/>
  <c r="C15" i="15" l="1"/>
  <c r="I9" i="26" a="1"/>
  <c r="I9" i="26" s="1"/>
  <c r="C13" i="15"/>
  <c r="C14" i="15" s="1"/>
  <c r="I10" i="2"/>
  <c r="I9" i="2" a="1"/>
  <c r="I9"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<sst xmlns="http://schemas.openxmlformats.org/spreadsheetml/2006/main" count="2696" uniqueCount="701">
  <si>
    <t>Definitions</t>
  </si>
  <si>
    <t>&lt; 4 months</t>
  </si>
  <si>
    <t>Total (men and women)</t>
  </si>
  <si>
    <t>Total</t>
  </si>
  <si>
    <t>Men</t>
  </si>
  <si>
    <t>Women</t>
  </si>
  <si>
    <t>15-19</t>
  </si>
  <si>
    <t>20-24</t>
  </si>
  <si>
    <t>4 months</t>
  </si>
  <si>
    <t>6 months</t>
  </si>
  <si>
    <t>12 months</t>
  </si>
  <si>
    <t>Young persons aged 15-19</t>
  </si>
  <si>
    <t>&lt;4 months</t>
  </si>
  <si>
    <t>Young persons aged 20-24</t>
  </si>
  <si>
    <t>Stocks</t>
  </si>
  <si>
    <t>Employment</t>
  </si>
  <si>
    <t>Education</t>
  </si>
  <si>
    <t>Apprenticeship</t>
  </si>
  <si>
    <t>Traineeship</t>
  </si>
  <si>
    <t>Of which subsidised</t>
  </si>
  <si>
    <t>Unemployment</t>
  </si>
  <si>
    <t>Unknown</t>
  </si>
  <si>
    <t>Employment (subsidised)</t>
  </si>
  <si>
    <t>Breakdown by gender, age and duration</t>
  </si>
  <si>
    <t>Total exits (all durations)</t>
  </si>
  <si>
    <t>Exits within 4 months</t>
  </si>
  <si>
    <t>Education (subsidised)</t>
  </si>
  <si>
    <t>Apprenticeship (subsidised)</t>
  </si>
  <si>
    <t>Traineeship (subsidised)</t>
  </si>
  <si>
    <t>Destination:</t>
  </si>
  <si>
    <t>All known destinations</t>
  </si>
  <si>
    <t xml:space="preserve"> - The following categories are used:</t>
  </si>
  <si>
    <t xml:space="preserve"> - The following categories are used</t>
  </si>
  <si>
    <t xml:space="preserve"> - Registration with a YG Provider means that a young person has: </t>
  </si>
  <si>
    <r>
      <t xml:space="preserve"> - The observation required is the </t>
    </r>
    <r>
      <rPr>
        <b/>
        <sz val="11"/>
        <color theme="1"/>
        <rFont val="Calibri"/>
        <family val="2"/>
        <scheme val="minor"/>
      </rPr>
      <t>annual average stock</t>
    </r>
  </si>
  <si>
    <t>Months</t>
  </si>
  <si>
    <t>Jan</t>
  </si>
  <si>
    <t>Feb</t>
  </si>
  <si>
    <t>Mar</t>
  </si>
  <si>
    <t>Apr</t>
  </si>
  <si>
    <t>May</t>
  </si>
  <si>
    <t>Jun</t>
  </si>
  <si>
    <t>Jul</t>
  </si>
  <si>
    <t>Aug</t>
  </si>
  <si>
    <t>Sep</t>
  </si>
  <si>
    <t>Oct</t>
  </si>
  <si>
    <t>Nov</t>
  </si>
  <si>
    <t>Dec</t>
  </si>
  <si>
    <t>Contents</t>
  </si>
  <si>
    <t>The workbook contains the following sheets:</t>
  </si>
  <si>
    <t>Intro</t>
  </si>
  <si>
    <t>Entrants</t>
  </si>
  <si>
    <t>Exits</t>
  </si>
  <si>
    <t>Indicators</t>
  </si>
  <si>
    <t>Refs</t>
  </si>
  <si>
    <t>This sheet</t>
  </si>
  <si>
    <t>Definitions of key variables and data required</t>
  </si>
  <si>
    <t>General guidelines</t>
  </si>
  <si>
    <t>Qualitative</t>
  </si>
  <si>
    <t>Q1.</t>
  </si>
  <si>
    <t>Country</t>
  </si>
  <si>
    <t>Q2.</t>
  </si>
  <si>
    <t>Q3.</t>
  </si>
  <si>
    <t>Countries</t>
  </si>
  <si>
    <t>Belgium</t>
  </si>
  <si>
    <t>Bulgaria</t>
  </si>
  <si>
    <t>Denmark</t>
  </si>
  <si>
    <t>Germany</t>
  </si>
  <si>
    <t>Estonia</t>
  </si>
  <si>
    <t>Ireland</t>
  </si>
  <si>
    <t>Greece</t>
  </si>
  <si>
    <t>Spain</t>
  </si>
  <si>
    <t>France</t>
  </si>
  <si>
    <t>Croatia</t>
  </si>
  <si>
    <t>Italy</t>
  </si>
  <si>
    <t>Cyprus</t>
  </si>
  <si>
    <t>Latvia</t>
  </si>
  <si>
    <t>Lithuania</t>
  </si>
  <si>
    <t>Luxembourg</t>
  </si>
  <si>
    <t>Hungary</t>
  </si>
  <si>
    <t>Malta</t>
  </si>
  <si>
    <t>The Netherlands</t>
  </si>
  <si>
    <t>Austria</t>
  </si>
  <si>
    <t>Poland</t>
  </si>
  <si>
    <t>Portugal</t>
  </si>
  <si>
    <t>Romania</t>
  </si>
  <si>
    <t>Slovenia</t>
  </si>
  <si>
    <t>Slovakia</t>
  </si>
  <si>
    <t>Finland</t>
  </si>
  <si>
    <t>Sweden</t>
  </si>
  <si>
    <t>Organisation name</t>
  </si>
  <si>
    <t>Contact name</t>
  </si>
  <si>
    <t>Contact e-mail</t>
  </si>
  <si>
    <t xml:space="preserve">Which YG service providers are covered by the data provided? </t>
  </si>
  <si>
    <t>i</t>
  </si>
  <si>
    <t>ii</t>
  </si>
  <si>
    <t>iii</t>
  </si>
  <si>
    <t>Positive destinations</t>
  </si>
  <si>
    <t>Negative destinations</t>
  </si>
  <si>
    <t>Unknown (YG experience)</t>
  </si>
  <si>
    <t>Inactivity</t>
  </si>
  <si>
    <t>Total
(all exits)</t>
  </si>
  <si>
    <t>Empl. (subs.)</t>
  </si>
  <si>
    <t>Educ. (subs.)</t>
  </si>
  <si>
    <t>Apprent. (subs.)</t>
  </si>
  <si>
    <t>Trainee. (subs.)</t>
  </si>
  <si>
    <t>Total (men &amp; women)</t>
  </si>
  <si>
    <t>[Select from list]</t>
  </si>
  <si>
    <t>Still in YG service after:</t>
  </si>
  <si>
    <t xml:space="preserve">Empl.  </t>
  </si>
  <si>
    <t>Educ.</t>
  </si>
  <si>
    <t xml:space="preserve">Apprent. </t>
  </si>
  <si>
    <t>Trainee.</t>
  </si>
  <si>
    <t>Unempl.</t>
  </si>
  <si>
    <t>Inact.</t>
  </si>
  <si>
    <t xml:space="preserve">Did not take-up an offer </t>
  </si>
  <si>
    <t>Took-up an offer</t>
  </si>
  <si>
    <t>None</t>
  </si>
  <si>
    <r>
      <t>Total entrants (</t>
    </r>
    <r>
      <rPr>
        <b/>
        <sz val="11"/>
        <color theme="0"/>
        <rFont val="Calibri"/>
        <family val="2"/>
      </rPr>
      <t>§57)</t>
    </r>
  </si>
  <si>
    <r>
      <t>Status on entry (</t>
    </r>
    <r>
      <rPr>
        <b/>
        <sz val="11"/>
        <color theme="0"/>
        <rFont val="Calibri"/>
        <family val="2"/>
      </rPr>
      <t>§68-69)</t>
    </r>
  </si>
  <si>
    <t>Registered unemployed</t>
  </si>
  <si>
    <t>ALERTS</t>
  </si>
  <si>
    <t>COMMENTS</t>
  </si>
  <si>
    <t>Please add here any comments about the data, particularly in case that any definitions differ from the manual</t>
  </si>
  <si>
    <t>In case of error, alerts will appear below
(do not edit here, correct the data to remove the alert)</t>
  </si>
  <si>
    <r>
      <t>Entrants (inflow) to the Youth Guarantee scheme (</t>
    </r>
    <r>
      <rPr>
        <b/>
        <sz val="14"/>
        <color theme="1"/>
        <rFont val="Calibri"/>
        <family val="2"/>
      </rPr>
      <t>§57)</t>
    </r>
  </si>
  <si>
    <r>
      <t>Breakdown by sex (</t>
    </r>
    <r>
      <rPr>
        <b/>
        <sz val="11"/>
        <color theme="0"/>
        <rFont val="Calibri"/>
        <family val="2"/>
      </rPr>
      <t>§63)</t>
    </r>
    <r>
      <rPr>
        <b/>
        <sz val="11"/>
        <color theme="0"/>
        <rFont val="Calibri"/>
        <family val="2"/>
        <scheme val="minor"/>
      </rPr>
      <t xml:space="preserve"> and age (§64)</t>
    </r>
  </si>
  <si>
    <r>
      <t>Breakdown by duration (</t>
    </r>
    <r>
      <rPr>
        <b/>
        <sz val="11"/>
        <color theme="0"/>
        <rFont val="Calibri"/>
        <family val="2"/>
      </rPr>
      <t>§</t>
    </r>
    <r>
      <rPr>
        <b/>
        <sz val="10"/>
        <color theme="0"/>
        <rFont val="Calibri"/>
        <family val="2"/>
      </rPr>
      <t>73-76)</t>
    </r>
  </si>
  <si>
    <t>4-5 months</t>
  </si>
  <si>
    <t>6-11 months</t>
  </si>
  <si>
    <t>12+ months</t>
  </si>
  <si>
    <r>
      <t>Breakdown by sex (§63), age (§64) and duration (</t>
    </r>
    <r>
      <rPr>
        <b/>
        <sz val="11"/>
        <color theme="0"/>
        <rFont val="Calibri"/>
        <family val="2"/>
      </rPr>
      <t>§77-78)</t>
    </r>
  </si>
  <si>
    <r>
      <t>Breakdown by destination (</t>
    </r>
    <r>
      <rPr>
        <b/>
        <sz val="11"/>
        <color theme="0"/>
        <rFont val="Calibri"/>
        <family val="2"/>
      </rPr>
      <t>§79-80)</t>
    </r>
  </si>
  <si>
    <t xml:space="preserve">The definitions provided below are brief versions for guidance only. </t>
  </si>
  <si>
    <r>
      <t>Entrants (</t>
    </r>
    <r>
      <rPr>
        <b/>
        <u/>
        <sz val="11"/>
        <color theme="1"/>
        <rFont val="Calibri"/>
        <family val="2"/>
      </rPr>
      <t>§57</t>
    </r>
    <r>
      <rPr>
        <b/>
        <u/>
        <sz val="11"/>
        <color theme="1"/>
        <rFont val="Calibri"/>
        <family val="2"/>
        <scheme val="minor"/>
      </rPr>
      <t xml:space="preserve">) </t>
    </r>
  </si>
  <si>
    <r>
      <t xml:space="preserve"> - contacted a YG provider for assistance; </t>
    </r>
    <r>
      <rPr>
        <u/>
        <sz val="11"/>
        <color theme="1"/>
        <rFont val="Calibri"/>
        <family val="2"/>
        <scheme val="minor"/>
      </rPr>
      <t>and</t>
    </r>
  </si>
  <si>
    <t xml:space="preserve"> - had their personal details recorded in some form of register/database of YG clients</t>
  </si>
  <si>
    <r>
      <t>Stocks (</t>
    </r>
    <r>
      <rPr>
        <b/>
        <u/>
        <sz val="11"/>
        <color theme="1"/>
        <rFont val="Calibri"/>
        <family val="2"/>
      </rPr>
      <t>§59-60)</t>
    </r>
  </si>
  <si>
    <r>
      <t xml:space="preserve"> - Entrants refer to the </t>
    </r>
    <r>
      <rPr>
        <b/>
        <sz val="11"/>
        <color theme="1"/>
        <rFont val="Calibri"/>
        <family val="2"/>
        <scheme val="minor"/>
      </rPr>
      <t>number of young persons entering the Youth Guarantee scheme within the reference period.</t>
    </r>
    <r>
      <rPr>
        <sz val="11"/>
        <color theme="1"/>
        <rFont val="Calibri"/>
        <family val="2"/>
        <scheme val="minor"/>
      </rPr>
      <t xml:space="preserve"> The reference period is normally the calendar year  the data collection fiches allow alternative observations in case data are not available for the full year.</t>
    </r>
  </si>
  <si>
    <r>
      <t xml:space="preserve"> - Entry to the YG scheme is taken to be the date of registration, or re-registration, with a Youth Guarantee Provider (</t>
    </r>
    <r>
      <rPr>
        <sz val="11"/>
        <color theme="1"/>
        <rFont val="Calibri"/>
        <family val="2"/>
      </rPr>
      <t>§15-18)</t>
    </r>
    <r>
      <rPr>
        <sz val="11"/>
        <color theme="1"/>
        <rFont val="Calibri"/>
        <family val="2"/>
        <scheme val="minor"/>
      </rPr>
      <t>. This is not necessarily equivalent to registration with the PES.</t>
    </r>
  </si>
  <si>
    <t xml:space="preserve"> - If a young person remains registered after taking-up an offer (which represents an exit from the YG scheme) then it is also possible for a person to restart the YG service phase whilst already registered. A restart should be counted equally with a new start.</t>
  </si>
  <si>
    <t xml:space="preserve"> - For each breakdown (by sex/age/duration) take the sum of the stock in each month divided by the number of months covered. Figure 3 in the manual provides an illustration of how stocks and flows should be measured.</t>
  </si>
  <si>
    <r>
      <t>Exits (</t>
    </r>
    <r>
      <rPr>
        <b/>
        <u/>
        <sz val="11"/>
        <color theme="1"/>
        <rFont val="Calibri"/>
        <family val="2"/>
      </rPr>
      <t>§58</t>
    </r>
    <r>
      <rPr>
        <b/>
        <u/>
        <sz val="11"/>
        <color theme="1"/>
        <rFont val="Calibri"/>
        <family val="2"/>
        <scheme val="minor"/>
      </rPr>
      <t>)</t>
    </r>
  </si>
  <si>
    <r>
      <t xml:space="preserve"> - Exits refer to the </t>
    </r>
    <r>
      <rPr>
        <b/>
        <sz val="11"/>
        <color theme="1"/>
        <rFont val="Calibri"/>
        <family val="2"/>
        <scheme val="minor"/>
      </rPr>
      <t xml:space="preserve">number of young persons exiting the Youth Guarantee scheme (preparatory phase) within the reference period. </t>
    </r>
    <r>
      <rPr>
        <sz val="11"/>
        <color theme="1"/>
        <rFont val="Calibri"/>
        <family val="2"/>
        <scheme val="minor"/>
      </rPr>
      <t>The reference period is normally the calendar year  the data collection fiches allow alternative observations in case data are not available for the full year.</t>
    </r>
  </si>
  <si>
    <r>
      <t xml:space="preserve"> - Stock refers to the </t>
    </r>
    <r>
      <rPr>
        <b/>
        <sz val="11"/>
        <color theme="1"/>
        <rFont val="Calibri"/>
        <family val="2"/>
        <scheme val="minor"/>
      </rPr>
      <t>number of young persons registered in the YG scheme (in the YG preparatory phase) at any point in time</t>
    </r>
    <r>
      <rPr>
        <sz val="11"/>
        <color theme="1"/>
        <rFont val="Calibri"/>
        <family val="2"/>
        <scheme val="minor"/>
      </rPr>
      <t xml:space="preserve"> - i.e. persons that have registered with a YG Provider and have not yet taken up an offer. </t>
    </r>
  </si>
  <si>
    <r>
      <t xml:space="preserve"> - </t>
    </r>
    <r>
      <rPr>
        <b/>
        <sz val="11"/>
        <color theme="1"/>
        <rFont val="Calibri"/>
        <family val="2"/>
        <scheme val="minor"/>
      </rPr>
      <t>Exit occurs either on take-up of an offer or on deregistration before take-up of an offer</t>
    </r>
    <r>
      <rPr>
        <sz val="11"/>
        <color theme="1"/>
        <rFont val="Calibri"/>
        <family val="2"/>
        <scheme val="minor"/>
      </rPr>
      <t xml:space="preserve"> (§36). Each exit is counted so that the same person may be counted more than once within a year.</t>
    </r>
  </si>
  <si>
    <t xml:space="preserve"> - A young person may remain registered with the YG provider after having taken up an offer. For example, in the case that offers are delivered by the same YG provider. This person is considered to have exited the YG preparatory phase and is no longer part of the YG stock. They may, however, restart the YG service after leaving the offer for any reason.  </t>
  </si>
  <si>
    <r>
      <t xml:space="preserve"> - Age always refers to the </t>
    </r>
    <r>
      <rPr>
        <b/>
        <sz val="11"/>
        <color theme="1"/>
        <rFont val="Calibri"/>
        <family val="2"/>
        <scheme val="minor"/>
      </rPr>
      <t>age of a young person on registration</t>
    </r>
    <r>
      <rPr>
        <sz val="11"/>
        <color theme="1"/>
        <rFont val="Calibri"/>
        <family val="2"/>
        <scheme val="minor"/>
      </rPr>
      <t xml:space="preserve"> (i.e. at the start of each YG spell - on entry or re-entry to the YG preparatory phase)</t>
    </r>
  </si>
  <si>
    <t>183-364 days</t>
  </si>
  <si>
    <t>365 or more days</t>
  </si>
  <si>
    <t>&lt;122 days</t>
  </si>
  <si>
    <t>122-182 days</t>
  </si>
  <si>
    <t>Duration - exits (§77-78)</t>
  </si>
  <si>
    <t xml:space="preserve"> - Refers to the length of time that a person has been in the YG scheme (preparatory phase) measured by the observation date (e.g. end of the month) minus the registration date. </t>
  </si>
  <si>
    <t xml:space="preserve"> - Refers to the length of time that a person spent in the YG scheme (preparatory phase) measured by the exit date (date of take-up of an offer or deregistration for other reasons) minus the registration date. </t>
  </si>
  <si>
    <t>Proportion of young people in the YG preparatory phase beyond the 4 month target</t>
  </si>
  <si>
    <r>
      <t>Stocks: annual average stock of young persons registered in the YG scheme (preparartory phase) (</t>
    </r>
    <r>
      <rPr>
        <b/>
        <sz val="14"/>
        <color theme="1"/>
        <rFont val="Calibri"/>
        <family val="2"/>
      </rPr>
      <t>§</t>
    </r>
    <r>
      <rPr>
        <b/>
        <sz val="12.75"/>
        <color theme="1"/>
        <rFont val="Calibri"/>
        <family val="2"/>
      </rPr>
      <t>59-60)</t>
    </r>
  </si>
  <si>
    <r>
      <t>Exits (outflow) from the YG scheme (preparatory phase) (</t>
    </r>
    <r>
      <rPr>
        <b/>
        <sz val="14"/>
        <color theme="1"/>
        <rFont val="Calibri"/>
        <family val="2"/>
      </rPr>
      <t>§58)</t>
    </r>
  </si>
  <si>
    <t>Positive and timely exits from the YG preparatory phase</t>
  </si>
  <si>
    <t xml:space="preserve"> - The following breakdown is required:</t>
  </si>
  <si>
    <r>
      <t xml:space="preserve"> - </t>
    </r>
    <r>
      <rPr>
        <sz val="11"/>
        <color theme="1"/>
        <rFont val="Calibri"/>
        <family val="2"/>
        <scheme val="minor"/>
      </rPr>
      <t>15-19</t>
    </r>
  </si>
  <si>
    <t>18 months after exit</t>
  </si>
  <si>
    <t>12 months after exit</t>
  </si>
  <si>
    <t>6 months after exit</t>
  </si>
  <si>
    <t xml:space="preserve">Positive </t>
  </si>
  <si>
    <t>Breakdown by situation</t>
  </si>
  <si>
    <t>Total
(all exits to trainee.)</t>
  </si>
  <si>
    <t>Total
(all exits to apprent.)</t>
  </si>
  <si>
    <t>Total
(all exits to educ.)</t>
  </si>
  <si>
    <t>Total
(all exits to empl.)</t>
  </si>
  <si>
    <t>Years</t>
  </si>
  <si>
    <t>In case of error, alerts will appear below.
Do not edit here, correct the data to remove the alert. If the error remains because of problems with the data (e.g. incomplete data) please use the comments column to explain</t>
  </si>
  <si>
    <t>[Do not edit this sheet - indicator values are calculated automatically from the data provided]</t>
  </si>
  <si>
    <t>Q4.</t>
  </si>
  <si>
    <t>Data coverage</t>
  </si>
  <si>
    <t>From</t>
  </si>
  <si>
    <t>To</t>
  </si>
  <si>
    <t>Data refer to persons that exited the YG in :</t>
  </si>
  <si>
    <t>6m after exit</t>
  </si>
  <si>
    <t>12m after exit</t>
  </si>
  <si>
    <t>18m after exit</t>
  </si>
  <si>
    <t>Data refer to reference year :</t>
  </si>
  <si>
    <t>[Not provided]</t>
  </si>
  <si>
    <t>Input form for data on entrants (inflow) to the Youth Guarantee scheme in reference year T</t>
  </si>
  <si>
    <t>Input form for data on stocks of young persons in the Youth Guarantee preparatory phase in reference year T</t>
  </si>
  <si>
    <t>Input form for data on exits (outflow) from the Youth Guarantee scheme (preparatory phase) in reference year T</t>
  </si>
  <si>
    <t>Input form for data on the subsequent situation of persons that exited the YG scheme in reference year T</t>
  </si>
  <si>
    <t>Direct monitoring indicators</t>
  </si>
  <si>
    <t>Follow-up indicators</t>
  </si>
  <si>
    <t>Situation of young people 6, 12 and 18 months after exiting the YG preparatory phase</t>
  </si>
  <si>
    <r>
      <t>Main indicator (</t>
    </r>
    <r>
      <rPr>
        <b/>
        <sz val="11"/>
        <color theme="1"/>
        <rFont val="Calibri"/>
        <family val="2"/>
      </rPr>
      <t>§87-88)</t>
    </r>
    <r>
      <rPr>
        <b/>
        <sz val="11"/>
        <color theme="1"/>
        <rFont val="Calibri"/>
        <family val="2"/>
        <scheme val="minor"/>
      </rPr>
      <t>:</t>
    </r>
  </si>
  <si>
    <r>
      <t>Supplementary  indicator (</t>
    </r>
    <r>
      <rPr>
        <b/>
        <sz val="11"/>
        <color theme="1"/>
        <rFont val="Calibri"/>
        <family val="2"/>
      </rPr>
      <t>§89-90)</t>
    </r>
    <r>
      <rPr>
        <b/>
        <sz val="11"/>
        <color theme="1"/>
        <rFont val="Calibri"/>
        <family val="2"/>
        <scheme val="minor"/>
      </rPr>
      <t>:</t>
    </r>
  </si>
  <si>
    <t>Situation after 6 months</t>
  </si>
  <si>
    <t>All positive situations</t>
  </si>
  <si>
    <t>All negative situations</t>
  </si>
  <si>
    <r>
      <t xml:space="preserve">Note: data should always be reported in absolute numbers. </t>
    </r>
    <r>
      <rPr>
        <sz val="11"/>
        <color theme="8" tint="-0.499984740745262"/>
        <rFont val="Calibri"/>
        <family val="2"/>
        <scheme val="minor"/>
      </rPr>
      <t>Where the data reported cover the whole population then total exits reported for follow-up purposes should match total exits in the relevant year. Where sample data are used then the total in each table and each observation point (6, 12, 18m) should be the total number of the relevant population covered by the sample - e.g. in FU1 the total size of the sample, in FU2 the total number of persons in the sample that exited after taking up an offer of employment, etc.</t>
    </r>
  </si>
  <si>
    <t>Situation after 12 months</t>
  </si>
  <si>
    <t>Situation after 18 months</t>
  </si>
  <si>
    <t>Situation of young people 6, 12 and 18 months after exiting the YG preparatory phase by type of offer: Employment</t>
  </si>
  <si>
    <t>Situation of young people 6, 12 and 18 months after exiting the YG preparatory phase by type of offer: Continued education</t>
  </si>
  <si>
    <t>Situation of young people 6, 12 and 18 months after exiting the YG preparatory phase by type of offer: Apprenticeship</t>
  </si>
  <si>
    <t>Situation of young people 6, 12 and 18 months after exiting the YG preparatory phase by type of offer: Traineeship</t>
  </si>
  <si>
    <t>Direct monitoring and follow-up indicators for reference year T</t>
  </si>
  <si>
    <t>FU1: Situation of young people 6, 12 and 18 months after exiting the YG preparatory phase</t>
  </si>
  <si>
    <t>FU2: Situation of young people 6, 12 and 18 months after exiting the YG preparatory phase with an offer of employment</t>
  </si>
  <si>
    <t>FU3: Situation of young people 6, 12 and 18 months after exiting the YG preparatory phase with an offer of continued education</t>
  </si>
  <si>
    <t>FU4: Situation of young people 6, 12 and 18 months after exiting the YG preparatory phase with an offer of an apprenticeship</t>
  </si>
  <si>
    <t>FU5: Situation of young people 6, 12 and 18 months after exiting the YG preparatory phase with an offer of a traineeship</t>
  </si>
  <si>
    <r>
      <t>Exits by subsequent situation (</t>
    </r>
    <r>
      <rPr>
        <b/>
        <sz val="14"/>
        <color theme="1"/>
        <rFont val="Calibri"/>
        <family val="2"/>
      </rPr>
      <t xml:space="preserve">§82-83): </t>
    </r>
    <r>
      <rPr>
        <b/>
        <sz val="14"/>
        <color rgb="FFFF0000"/>
        <rFont val="Calibri"/>
        <family val="2"/>
      </rPr>
      <t>Follow-up of reference year T</t>
    </r>
  </si>
  <si>
    <t>Indicators (all indicators for reference year T)</t>
  </si>
  <si>
    <r>
      <t>Main indicator (</t>
    </r>
    <r>
      <rPr>
        <b/>
        <sz val="11"/>
        <color theme="1"/>
        <rFont val="Calibri"/>
        <family val="2"/>
      </rPr>
      <t>§94-96)</t>
    </r>
    <r>
      <rPr>
        <b/>
        <sz val="11"/>
        <color theme="1"/>
        <rFont val="Calibri"/>
        <family val="2"/>
        <scheme val="minor"/>
      </rPr>
      <t>:</t>
    </r>
  </si>
  <si>
    <t>Supplementary indicator (§97-99):</t>
  </si>
  <si>
    <t>EMPLOYMENT</t>
  </si>
  <si>
    <t>CONTINUED EDUCATION</t>
  </si>
  <si>
    <t>TRAINEESHIP</t>
  </si>
  <si>
    <t>APPRENTICESHIP</t>
  </si>
  <si>
    <t xml:space="preserve"> - Data should be input to unshaded cells only. All other cells are protected and cannot be changed.</t>
  </si>
  <si>
    <t>Reference information used in the input forms (hidden and not to be edited)</t>
  </si>
  <si>
    <t>Data collection on Youth Guarantee schemes</t>
  </si>
  <si>
    <r>
      <rPr>
        <b/>
        <u/>
        <sz val="11"/>
        <color theme="1"/>
        <rFont val="Calibri"/>
        <family val="2"/>
        <scheme val="minor"/>
      </rPr>
      <t>Age (</t>
    </r>
    <r>
      <rPr>
        <b/>
        <u/>
        <sz val="11"/>
        <color theme="1"/>
        <rFont val="Calibri"/>
        <family val="2"/>
      </rPr>
      <t>§64)</t>
    </r>
  </si>
  <si>
    <r>
      <rPr>
        <b/>
        <u/>
        <sz val="11"/>
        <color theme="1"/>
        <rFont val="Calibri"/>
        <family val="2"/>
        <scheme val="minor"/>
      </rPr>
      <t>Duration - stocks (</t>
    </r>
    <r>
      <rPr>
        <b/>
        <u/>
        <sz val="11"/>
        <color theme="1"/>
        <rFont val="Calibri"/>
        <family val="2"/>
      </rPr>
      <t>§73-76</t>
    </r>
    <r>
      <rPr>
        <b/>
        <u/>
        <sz val="11"/>
        <color theme="1"/>
        <rFont val="Calibri"/>
        <family val="2"/>
        <scheme val="minor"/>
      </rPr>
      <t>)</t>
    </r>
  </si>
  <si>
    <t>The following data are expected.</t>
  </si>
  <si>
    <t>Metadata</t>
  </si>
  <si>
    <t>Methodological issues</t>
  </si>
  <si>
    <t>Stock</t>
  </si>
  <si>
    <t>Note: Blank means data are missing/not available. Please complete cells with 0 where real zero values apply.</t>
  </si>
  <si>
    <t>With previous experience</t>
  </si>
  <si>
    <t>Other</t>
  </si>
  <si>
    <t xml:space="preserve">Please provide information about any ways in which the data provided are known to diverge from the definitions of the Indicator Framework and accompanying methodological manual. </t>
  </si>
  <si>
    <t xml:space="preserve"> - In the input tables, blank cells mean that data are missing/not available. Please complete cells with real zeroes wherever relevant.</t>
  </si>
  <si>
    <t xml:space="preserve"> - Please use the Metatdata sheet to provide general comments about the data and to inform of any ways in which the data are known to diverge from the specifications of the methodological manual.</t>
  </si>
  <si>
    <t>Not applicable</t>
  </si>
  <si>
    <r>
      <rPr>
        <b/>
        <sz val="11"/>
        <color rgb="FF9C0006"/>
        <rFont val="Calibri"/>
        <family val="2"/>
        <scheme val="minor"/>
      </rPr>
      <t>Note:</t>
    </r>
    <r>
      <rPr>
        <sz val="11"/>
        <color rgb="FF9C0006"/>
        <rFont val="Calibri"/>
        <family val="2"/>
        <scheme val="minor"/>
      </rPr>
      <t xml:space="preserve"> Blank means data are missing/not available. Please complete cells with 0 where real zero values apply.</t>
    </r>
  </si>
  <si>
    <t xml:space="preserve">            Not applicable = Exits that have not yet reached the observation point at the time of data collection.</t>
  </si>
  <si>
    <t>Follow-up T</t>
  </si>
  <si>
    <t>Follow-up T-1</t>
  </si>
  <si>
    <t>Input form for updating and completing data on the subsequent situation of persons that exited the YG scheme in reference year T-1</t>
  </si>
  <si>
    <t>Follow-up (ref. year T)</t>
  </si>
  <si>
    <t>Follow-up (ref year T-1)</t>
  </si>
  <si>
    <t>Young persons aged 25-29</t>
  </si>
  <si>
    <t>All young persons aged 15-29</t>
  </si>
  <si>
    <r>
      <t>Exits by subsequent situation (</t>
    </r>
    <r>
      <rPr>
        <b/>
        <sz val="14"/>
        <color theme="1"/>
        <rFont val="Calibri"/>
        <family val="2"/>
      </rPr>
      <t xml:space="preserve">§82-83): </t>
    </r>
    <r>
      <rPr>
        <b/>
        <sz val="14"/>
        <color rgb="FFFF0000"/>
        <rFont val="Calibri"/>
        <family val="2"/>
      </rPr>
      <t>Follow-up of reference year T-1</t>
    </r>
  </si>
  <si>
    <t>Months covered in reference years</t>
  </si>
  <si>
    <t>Follow-up (T)</t>
  </si>
  <si>
    <t>Follow-up (T-1)</t>
  </si>
  <si>
    <t>Q5. General comments</t>
  </si>
  <si>
    <t>iv</t>
  </si>
  <si>
    <t>v</t>
  </si>
  <si>
    <t>vi</t>
  </si>
  <si>
    <t xml:space="preserve">Please provide any general comments about the comparability of data provided for this reference period with the data of the previous reference period. 
</t>
  </si>
  <si>
    <t>Who is covered by the data provided (participants)?</t>
  </si>
  <si>
    <t xml:space="preserve">Q6. </t>
  </si>
  <si>
    <t xml:space="preserve">Q7. </t>
  </si>
  <si>
    <t>Comparability of data</t>
  </si>
  <si>
    <r>
      <t>Exits by subsequent situation (</t>
    </r>
    <r>
      <rPr>
        <b/>
        <sz val="14"/>
        <color theme="1"/>
        <rFont val="Calibri"/>
        <family val="2"/>
      </rPr>
      <t xml:space="preserve">§82-83): </t>
    </r>
    <r>
      <rPr>
        <b/>
        <sz val="14"/>
        <color rgb="FFFF0000"/>
        <rFont val="Calibri"/>
        <family val="2"/>
      </rPr>
      <t>Follow-up of reference year T-2</t>
    </r>
  </si>
  <si>
    <t>Follow-up (ref year T-2)</t>
  </si>
  <si>
    <t>Follow-up T-2</t>
  </si>
  <si>
    <t>Input form for updating and completing data on the subsequent situation of persons that exited the YG scheme in reference year T-2</t>
  </si>
  <si>
    <r>
      <t xml:space="preserve">Qualitative information about the data provider,  the data provided and any known methodological issues. </t>
    </r>
    <r>
      <rPr>
        <b/>
        <sz val="11"/>
        <color rgb="FFFF0000"/>
        <rFont val="Calibri"/>
        <family val="2"/>
        <scheme val="minor"/>
      </rPr>
      <t>Q3-Q7 are mandatory.</t>
    </r>
  </si>
  <si>
    <t>Breakdown by sex (§63) and age (§64)</t>
  </si>
  <si>
    <r>
      <t xml:space="preserve">Please provide any general comments about the data provided or the implementation of the YG scheme that are relevant to interpretation of the data. 
</t>
    </r>
    <r>
      <rPr>
        <i/>
        <sz val="11"/>
        <color theme="0"/>
        <rFont val="Calibri"/>
        <family val="2"/>
        <scheme val="minor"/>
      </rPr>
      <t>(Note that important comments specific to particular variables should be provided on the relevant sheet).</t>
    </r>
  </si>
  <si>
    <t>Follow-up (T-2)</t>
  </si>
  <si>
    <t>vii</t>
  </si>
  <si>
    <t>Provider contact details</t>
  </si>
  <si>
    <t xml:space="preserve"> - Which are the sources/methods used to compile data on exits by destination?</t>
  </si>
  <si>
    <t xml:space="preserve"> - Please comment on the risk of missing positive outcomes in the unknown category. Are there any types of exits that cannot be (fully) recorded?</t>
  </si>
  <si>
    <t xml:space="preserve"> -Which are the sources/methods used to compile follow-up data by subsiquent situation?</t>
  </si>
  <si>
    <t xml:space="preserve"> -Please comment on the risk of missing positive outcomes in the unknown category. Are there any types of situations that cannot be (fully) recorded?</t>
  </si>
  <si>
    <t>Information referring to the previous data collection (columns C-E) is populated based on the information provided during the previous data collection. These cells are protected and cannot be changed.</t>
  </si>
  <si>
    <t xml:space="preserve">In case there are changes, please use columns F-G to update the information. For cells that are left empty, it will be assumed that there are no changes compared to the previous data collection. </t>
  </si>
  <si>
    <t xml:space="preserve"> - What is the minimum duration of participation in an offer that results in a positive exit being recorded?</t>
  </si>
  <si>
    <t>BE</t>
  </si>
  <si>
    <t>CZ</t>
  </si>
  <si>
    <t>DE</t>
  </si>
  <si>
    <t>ES</t>
  </si>
  <si>
    <t>FR</t>
  </si>
  <si>
    <t>IT</t>
  </si>
  <si>
    <t>CY</t>
  </si>
  <si>
    <t>LU</t>
  </si>
  <si>
    <t>HU</t>
  </si>
  <si>
    <t>BG</t>
  </si>
  <si>
    <t>DK</t>
  </si>
  <si>
    <t>EE</t>
  </si>
  <si>
    <t>IE</t>
  </si>
  <si>
    <t>EL</t>
  </si>
  <si>
    <t>HR</t>
  </si>
  <si>
    <t>LV</t>
  </si>
  <si>
    <t>LT</t>
  </si>
  <si>
    <t>MT</t>
  </si>
  <si>
    <t>NL</t>
  </si>
  <si>
    <t>AT</t>
  </si>
  <si>
    <t>PL</t>
  </si>
  <si>
    <t>PT</t>
  </si>
  <si>
    <t>RO</t>
  </si>
  <si>
    <t>SI</t>
  </si>
  <si>
    <t>SK</t>
  </si>
  <si>
    <t>FI</t>
  </si>
  <si>
    <t>SE</t>
  </si>
  <si>
    <t>Org. name</t>
  </si>
  <si>
    <t>Email</t>
  </si>
  <si>
    <t>Providers</t>
  </si>
  <si>
    <t>Participants</t>
  </si>
  <si>
    <t>Direct data year</t>
  </si>
  <si>
    <t>FU T year</t>
  </si>
  <si>
    <t>FU T-1 year</t>
  </si>
  <si>
    <t>FU T-2 year</t>
  </si>
  <si>
    <t>Gen. Comments</t>
  </si>
  <si>
    <t>Mth_entrants</t>
  </si>
  <si>
    <t>Mth_stock</t>
  </si>
  <si>
    <t>Mth_exits</t>
  </si>
  <si>
    <t>Exits_source</t>
  </si>
  <si>
    <t>Exits_missing outcomes</t>
  </si>
  <si>
    <t>Exits_break time</t>
  </si>
  <si>
    <t>FU T</t>
  </si>
  <si>
    <t>FU T-1</t>
  </si>
  <si>
    <t>FU T-2</t>
  </si>
  <si>
    <t>FU_source</t>
  </si>
  <si>
    <t>FU_missed outcomes</t>
  </si>
  <si>
    <t>Comparability</t>
  </si>
  <si>
    <t>Qualitative information referring to the latest data (hidden and not to be edited)</t>
  </si>
  <si>
    <t>Ministry of Labour and Social Affairs</t>
  </si>
  <si>
    <t>Krupička Lukáš</t>
  </si>
  <si>
    <t>lukas.krupicka@mpsv.cz</t>
  </si>
  <si>
    <t>Public Employment Service (PES)</t>
  </si>
  <si>
    <t xml:space="preserve">Young people aged 15-29 registered with the PES as unemployed. </t>
  </si>
  <si>
    <t xml:space="preserve"> - Breakdown of entrants by previous YG experience is missing.
 - Re-entrants of participants that had initially exited to a training are not recorded.</t>
  </si>
  <si>
    <t xml:space="preserve">Information system of Labour Office, however, it provides limited information  </t>
  </si>
  <si>
    <t xml:space="preserve">There will be share of positive outcomes in the unknown category as people can leave job-seekers register without announcement that they are going to enter emplyoment. </t>
  </si>
  <si>
    <t>Not available.</t>
  </si>
  <si>
    <t>Employment agency</t>
  </si>
  <si>
    <t>Ivo Ivanov</t>
  </si>
  <si>
    <t>Young people aged 15-29 registered with the PES as unemployed.</t>
  </si>
  <si>
    <t>Same as T</t>
  </si>
  <si>
    <t xml:space="preserve">The follow-up of the participants' status is checked at the date of the 6th, 12th and 18th months after their exit of YG in the Register of Labour Contracts of the National Revenue Agency, and their status as unemployed in the register of the unemployed of the Employment Agency. Situation traineeship refers to participants still in the traineeship offer. </t>
  </si>
  <si>
    <t>Public Employment Service (PES) (AMS)</t>
  </si>
  <si>
    <t>Young people aged 15-29 registered with the PES as unemployed or as apprenticeship seekers or who directly started a PES measure which had a duration of more than 62 days (measures of less than this duration are not considered to be high quality offers in the context of the YG).</t>
  </si>
  <si>
    <t xml:space="preserve">For some measures, were the quality cannot be identified in the data ex ante, only courses attendances that lasted more than 2 months are taken into account. Thus , courses which were discontinued by the participant are excluded (despite possible good quality). As a result the number of good quality offers might be underestimated and the duration of YG-service periods overestimated for thos participants. </t>
  </si>
  <si>
    <t>Data on previous YG experience cover previous experience since 2009.</t>
  </si>
  <si>
    <t xml:space="preserve"> - Destination is determined the day after exit from the YG. If a person starts the offer some days later (e.g. with a break of one week), the type of offer is identified as unknown. This includes people exiting to some types of adult education (catch-up and adult education). 
- Exit coincides with end of the unemployment spell. Thus, destination unemployment is always zero.
-  Not all adult and catch-up education courses are recorded on the main education register (or by the register of PES training measures). Take-up of such courses is thus not recorded and forms part of exits with unknown destination. Exits to education include only exits to formal education/initial training and PES-subsidised training.
-  Destination traineeship is not recorded separately. Exits to paid traineeships are counted as exits to employment whereas exits to unpaid traineeships are not taken into account as YG offers. In practice, the traineeships for which data are available (paid traineeship with employment relationship) do not include formalised learning so this treatment is in line with the methodology.
</t>
  </si>
  <si>
    <t>Destination is determined the day after exit from YG. For this the data of BibEr ("Bildungsbezogenes Erwerbskarrierenmonitoring"), which links different registers (education, employment, PES) is used; see: http://www.statistik.at/web_de/statistiken/menschen_und_gesellschaft/bildung/bildungsbezogenes_erwerbskarrierenmonitoring_biber/index.html</t>
  </si>
  <si>
    <t>* not all adult and catch-up education is covered by the registers;take-up of these courses is identified as unknown (only formal education system or PES-financed training)
* destination is determined the day after exit from yg-service. If a person starts the offer later, the type of offer is identified as unknown. If for example young person wait for an apprenticeship offer to start and do not receive UB and therefore deregister, or is waiting for school to start, this might be the case. 
Unknown might also include persons on sick benefits, child benefits, maternaty leave etc.</t>
  </si>
  <si>
    <t>* it depends on the offer (see general comment); if offer can ex ante be identified in the data as a high quality offer (e.g. "Fachkräftestipendium" or similar) no minimum duration; if this cannot be identified in the data, as e.g. in PES training and qualification courses, minimum duration (ex post) is 62 days</t>
  </si>
  <si>
    <t>For this the data of BibEr ("Bildungsbezogenes Erwerbskarrierenmonitoring") is used, which links different registers (education, employment, PES); see: http://www.statistik.at/web_de/statistiken/menschen_und_gesellschaft/bildung/bildungsbezogenes_erwerbskarrierenmonitoring_biber/index.html</t>
  </si>
  <si>
    <t>see answer above on risk of missing positive outcomes in the unknown category (uses the same method)</t>
  </si>
  <si>
    <t>Federal Employment Agency</t>
  </si>
  <si>
    <t>peter-michael.schumacher@arbeitsagentur.de</t>
  </si>
  <si>
    <t>Federal Employment Agency, joint facilities (Jobcentres gE) and approved local authority agencies (Jobcentres zkT)</t>
  </si>
  <si>
    <t>Young people aged 15-29 registered at the PES as unemployed or applicants for vocational training.</t>
  </si>
  <si>
    <t>Contains number of spells not of persons.
With previous YG experience: there is no differentiation possible resp. took-up an offer or not. Total (men and woman): n/a excluded.</t>
  </si>
  <si>
    <t>Computation of duration differs slightly from definition.</t>
  </si>
  <si>
    <t xml:space="preserve">- Exits contain the number of spells not of persons.
- Empl: self-employment, military or alternative services.
- Educ: school, off-the-job training.
- Apprent: vocational training.
- Trainnee: other education, LMP measures, job creation.
- Inact: non-working, illness, leaving work, non-availability.
- Unknown: n/a.
- Unempl: not applicable, according to the national definition person remains in YG.
- Total (men and woman): n/a excluded. Also applicants for vocational training cannot exit YG into unemployment. With deregistration as applicant and registration as unemployed the participation in YG continues.
- Exit from the YG coincides with the end of the unemployment spell, thus, exits to unempoyment are reported as zero. 
- Exits to employment and traineeships include some exits to education. 
- Exits to education include some exits to apprenticeships. 
- Exits to apprenticeships include some exits to education. 
</t>
  </si>
  <si>
    <t>Source is administration data of the employment agencies and Jobcentres (both gE and zkT) based on the jobseekers' information concerning their situation immediately after the end of unemployment or job search.</t>
  </si>
  <si>
    <t>Persons without entitlement to benefits sometimes leave the support of the employment agency without any notice. In this case, the destination is unknown.</t>
  </si>
  <si>
    <t>There is no minimum duration.</t>
  </si>
  <si>
    <t>- Follow-up data are provided only when exits of the entire year can be monitored (situation not applicable = 0). Thus, follow-up data for 2020 exits have not been provided (will be provided in the next data collection exercise). Data with waiting period ("Daten mit Wartezeit"). Waiting period usually 6 months, if 6-month values are not yet available, then 2 months).</t>
  </si>
  <si>
    <t>Same as T.</t>
  </si>
  <si>
    <t>Sources: Administrative data of employment agencies and Jobcentres and registration data on employment subject to social insurance.</t>
  </si>
  <si>
    <t>The positive outcome is not recorded if the employer fails to report the employment to the social insurances in due time.</t>
  </si>
  <si>
    <t>DARES</t>
  </si>
  <si>
    <t>Breakdown of entrants with previous YG experience (with and without an offer) is not available. 
Pôle Emploi:
 - Entrants (and re-entrants) are only counted if they were not registered in the previous 6 months. The Indicator Framework does not foresee any restriction on the frequency of re-entry (except §21 of the methodological manual, which implies that interruptions of less than 28 are not considered to break the YG spell). Flows through the YG will therefore be understated. 
 - Entry to the YG coincides with registration with Pôle Emploi as category A (jobless people) therefore, all entrants are registered unemployed and recorded accordingly.
Missions Locales:
 - Entry corresponds to entry in one of the four programmes provided by youth centres.
 - Registered unemployed refers to people registered as unemployed with Pôle Emploi.</t>
  </si>
  <si>
    <t xml:space="preserve"> Missions Locales: Stock figures are overstated:
- Participants entering measures that do not break the spell, continue to be counted in stock until the end of their programme in the preparatory phase.
- Participants having two exits are counted in stock until the second exit if this is the one taken into account (see comment in exits below).</t>
  </si>
  <si>
    <t>Not available</t>
  </si>
  <si>
    <t>N/A</t>
  </si>
  <si>
    <t xml:space="preserve">Department of Labour </t>
  </si>
  <si>
    <t>Alexandros Alexandrou</t>
  </si>
  <si>
    <t>director@dl.mlsi.gov.cy</t>
  </si>
  <si>
    <t xml:space="preserve">Young people aged 15-29 registered as unemployed with the PES </t>
  </si>
  <si>
    <t>-</t>
  </si>
  <si>
    <t>Social insurance register: Since July 2020 we carry out monthly checks with Social Insurance registry in order to locate new active employments. PES regster is also used</t>
  </si>
  <si>
    <t xml:space="preserve"> - Follow-up data for situations apprenticeship, traineeship and education are not available.
 - Follow-up data for participants that had not reached the 12- and 18-month observation point at the time of the data collection (situation not applicable currently reported as unknown) are not available. </t>
  </si>
  <si>
    <t>We compile follow up data using PES registry and Social Insurance records</t>
  </si>
  <si>
    <t>Stocks are calculated based on daily figures.</t>
  </si>
  <si>
    <t xml:space="preserve"> - Exits to apprenticeship cannot be recorded separately, they are part of regular education system and are thus recorded under education.
 - Exits to traineeships are recorded under employment.
 - Exits to unemployment correspond to participants referred to other services (e.g. health/social services) and are deregistered from YG yet remain registered as unemployed.
 - Exits to inactivity include drop-outs with mutual consent, as well as women in maternity cover (not available for work or education for a long period). Exits to inactivity can also mean that PES lost touch with a young person despite the counsellor's best efforts and with no possible way to track them down – i.e. they are not registered as unemployed, they cannot be reached by phone/e-mail/letter and they are not in the database of the tax system (which would mean that they found employment).</t>
  </si>
  <si>
    <t xml:space="preserve">Data on exits are compiled by the PES based on their own administrative data. </t>
  </si>
  <si>
    <t xml:space="preserve">In the unknown category positive outcomes can be missed in case the young person relocates and starts an open market  job or takes part in some form of education. </t>
  </si>
  <si>
    <t xml:space="preserve"> Apprenticeships are part of regular education system and are recorded under education.
</t>
  </si>
  <si>
    <t xml:space="preserve">Follow-up data are collected from administrative registers and questionnaires. </t>
  </si>
  <si>
    <t xml:space="preserve">The risk of missing positive outcomes in the unknown category is higher than in the case of exits, as response rate to questionnaires can be low. Positive outcomes can be missed in case of relocating. </t>
  </si>
  <si>
    <t xml:space="preserve">Finland has a 3-month target for delivery of offers. 
</t>
  </si>
  <si>
    <t>Data by previous experience not provided.</t>
  </si>
  <si>
    <t>The categories of duration monitored diverge from the specifications of the YG Framework because of 3 months national target used (&lt;4 months corresponds to &lt;3 months, and 4-5 months corresponds to 3-5 months).</t>
  </si>
  <si>
    <t xml:space="preserve"> -  Timely exits correspond to exits within 3 months (national target) instead of 4 months.
 - Apprenticeships organised by the PES cannot be distinguished from regular employment and are recorded accordingly. Participants in normal education system's appreticeships are recorded under education. 
 - Traineeships include participation in counselling/coaching measures that break the unemployment spell.
- Counselling/coaching is regarded as a qualitative offer and participants are recorded as exits to traineeships. However, Counselling/coaching should probably be regarded as part of the preparatory phase.
 - Exits to inactivity include those who moved outside the labour force (e.g. military service, household work, hospital treatment, prison, pension, etc.), moved to unemployment pension and moved abroad (EU or EFTA country).</t>
  </si>
  <si>
    <t>Data on exits by destination is based on Employment offices client register. Only those destinations is known which client have informed to the office.</t>
  </si>
  <si>
    <t>Especially employment as destination can be missing if person have not informed it to the employment office. Person only stops to claim unemployment benefits but doesn't necessarily inform the employment to the office. Risk for not informing the office is relatively high.</t>
  </si>
  <si>
    <t>Follow-up data are not provided. Finland routinely collects follow-up data 3 months after the end of an active measure (i.e. after the end of the YG offer phase). This represents a different observation from follow-up after exit from the YG preparatory phase. Data might be available in the future.</t>
  </si>
  <si>
    <t xml:space="preserve">Counselling/coaching is regarded as a qualitative offer and participants are recorded as exits to traineeships. However, Counselling/coaching should probably be regarded as part of the preparatory phase.
</t>
  </si>
  <si>
    <t>Danish Agency for Labour Market and Recruitment</t>
  </si>
  <si>
    <t>Young people aged 15-29 registered with job centres (PES) organised at municipal level. Data cover both inactive and unemployed NEETs, but only insofar as both groups receive public benefits. Inactive in this regard means that they are not immediately 'available' for the labour market.</t>
  </si>
  <si>
    <t>The Danish YG-data is based on our administrative system 'DREAM'. This system is a week-based database, where we can identify whether a person has received unemployment benefits in a given week (and what kind of benefit). Hence, a person is (only) "defined as unemployed" if that person receives unemployment benefits in a given week. To identify whether a person is employed, we merge our regular administrative database with an 'administrative salary database', where we can identify, on a monthly basis, whether a person has received a salary (and how high the salary is). Hence, a person is "defined as employed" in a given week, if that person does not receive unemployment benefits in that week but receives a salary in the month where the week belongs. At the beginning of 2017 there was a reform of our Unemployment Benefits system. This reform allows for recipients of UB’s to prolong their duration of UB’s from 2 years to 3 years by working, meanwhile receiving UB’s. The reform also introduced a new data-reporting-system to support the reform. The new system means that UB’s are now based on an ‘hour-system’, where payout of UB’s are counted on an hourly basis, as opposed to before the reform where a person would use an entire week of UB’s, regardless of how many hours of UB’s was received. The latter change means that people can spread their initial 2 years of UB’s over a longer period of time. 
As between 25-30 % of the YG stock in 2017 consisted of recipients of UB's, this could potentially have increased the stock a little (meaning a potential small break in the data-series from 2016-2017). But as the general number of people on public benefits and UB's particularly has fallen from year to year (and the number of 15-24 year old UB-recipients is rather low), it is hard to identify the effect of this.
 In addition to this it is worth to point out that there was a break in the time series of the Danish LFS in 2016 and Q1 of 2017, which might have affected the Danish NEET-rate to have increased from 5,8 % to 7 %. This means that the indicator "coverage rate" will fall from around 58 % to 46 % (own calculations), although there hasn't been an actual change in the coverage of the Danish YG.</t>
  </si>
  <si>
    <t xml:space="preserve"> -  Exit coincides with end of a claim for benefits, which is effectively the end of the unemployment spell, so destination unemployment is always zero
 - Exits to apprenticeships provided by the regular education and training system are recorded as exits to education. Apprenticeship offers provided through the YG framework are open only to people aged 25 or over so that exits to apprenticeships in the monitoring data, which cover those aged 15-24 on entry, are limited and refer to people that became 25 after entering the YG. 
 - Exits to traineeships cannot be monitored (under unknown exits)
 -  Inactivity covers the following situations: sickness (sickness benefit), maternity leave (maternity leave benefit), early retirement (for e.g. handicapped), emigration, death.</t>
  </si>
  <si>
    <t xml:space="preserve">Source: The administrative weekly based database "DREAM". An exit is defines as four consecutive weeks of not receiving unemployment benefit. A person is registred as employed if the person during the four weeks are receiving unsupported wage. </t>
  </si>
  <si>
    <t>No specific risk - exits to traineeships cannot be monitored</t>
  </si>
  <si>
    <t>2 weeks</t>
  </si>
  <si>
    <t>Croatian Employment Service</t>
  </si>
  <si>
    <t>Darko Oračić</t>
  </si>
  <si>
    <t>darko.oracic@hzz.hr</t>
  </si>
  <si>
    <t>Public Employment Service (PES) (CES)</t>
  </si>
  <si>
    <t xml:space="preserve">The unemployment register and the social insurance (employment) register.		</t>
  </si>
  <si>
    <t>Exits to regular education are recorded based on participants self-reporting.</t>
  </si>
  <si>
    <t>None. Unemployed persons who are sick for more than 28 days are not deleted from the register (remain as stocks) and no break is recorded.</t>
  </si>
  <si>
    <t>The unemployment register and the social insurance (employment) register.</t>
  </si>
  <si>
    <t>Ministry of Labour and Social Policies</t>
  </si>
  <si>
    <t>Emiliano Rustichelli</t>
  </si>
  <si>
    <t>erustichelli.ext@lavoro.gov.it</t>
  </si>
  <si>
    <t>The information that can be retrieved from the CO archive (mandatory employer communication) is binary: Employee vs. Non-employee. This type of information is available at any time since 2009. The binary character of the information does not allow to have information (missing data) on positive exits from the Neet condition, such as:
- Re-entry into Education (not subsidised by YEI)
- Self-employment and other form of job not subjected to Mandatory Communtion (not subsidised by YEI)
As far as the Exits are concerned, the risk of missing positive outcomes could entail to an underestimation of the total exits themselves. That is to say, there may be cases of people entering the youth guarantee scheme and then returning to Education  or starting a self-employed activity without any public subsidy, so that the SAP repository may not record their actual status (Exits)</t>
  </si>
  <si>
    <t>Same as exits</t>
  </si>
  <si>
    <t>Follow-up data for participants in self-employment and in non-subsidised education and training programmes cannot be monitored (recorded under unknown). The risk of missing positive outcomes is higher than for exits, both in absolute and relative terms, because of the longer time span and the smaller reference population (Exits, total and by destination).</t>
  </si>
  <si>
    <t xml:space="preserve">Yes, exits to education, exits to employment, which happen not on exact day. </t>
  </si>
  <si>
    <t>Ministry of Social Security and Labour of the Republic of Lithuania</t>
  </si>
  <si>
    <t>Indrė Raubė</t>
  </si>
  <si>
    <t>indre.raube@socmin.lt</t>
  </si>
  <si>
    <t>The results are calculated based on the reasons for the loss/ suspension of unemployment status and adjusted according to the date received from the State social insurance fund board (SODRA).</t>
  </si>
  <si>
    <t>Unknown destinations correspond to voluntary de-registrations for which no information is available. It might include transition to education and migration. Around a third of unknown destinations are de-registrations for sanctions (e.g. due to refusal of offer, unjustified refusal to participate in measures, and irregular employment).</t>
  </si>
  <si>
    <t>28 days</t>
  </si>
  <si>
    <t>If there is no data in other registers on work, self-employment, independent activity, learning or training,  the person is considered to be inactive. The inactive – the data are verified with the data from  State Social Insurance Fund Board (SODRA).
Unknown – the data was not verified with SODRA.</t>
  </si>
  <si>
    <t>Data from  State Social Insurance Fund Board (SODRA) is used to verify information</t>
  </si>
  <si>
    <t>A shorter verification period with data from State Social Insurance Fund Board (SODRA) is possible for previous years, e.g. if the job search was terminated for reasons other than employment, the data with SODRA is checked for 1 month only after the termination of job search.</t>
  </si>
  <si>
    <t>Agence pour le développement de l'emploi (ADEM)</t>
  </si>
  <si>
    <t>Public Employment Service (PES) (ADEM)</t>
  </si>
  <si>
    <t xml:space="preserve"> - Stocks data correspond to a one-off observation of the numbers registered in the YG scheme on 31 December and who have not taken up an offer.</t>
  </si>
  <si>
    <t>We use data fom our IT system. For exits to employment we can also rely on data from social security registers</t>
  </si>
  <si>
    <t>National Service for Employment (SEPE-INEM)</t>
  </si>
  <si>
    <t>garantiajuvenil@sepe.es</t>
  </si>
  <si>
    <t>All YG Providers: National PES and intermediary organisations such as ministries, regional PES and other public services.</t>
  </si>
  <si>
    <t>Young people aged 16-30 registered in the YG scheme</t>
  </si>
  <si>
    <t xml:space="preserve">In general, all re-entrants will be recorded as having previously taken-up an offer because an exit normally occurs only on take up an offer. </t>
  </si>
  <si>
    <t>Sources: National PES information, intermediate organisations, beneficiaries…</t>
  </si>
  <si>
    <t>Exits to non-subsidised offers only monitored for employment offers.</t>
  </si>
  <si>
    <t>Sources: Information provides by YG partners and Social Security General Treasury.</t>
  </si>
  <si>
    <t xml:space="preserve"> -Exits to inactivity cannot be monitored (recorded as unknown)
 -Apprenticeships are provided through MCAST, which is Malta's leading vocational and education and training institution. Youth Guarantee participants are encouraged to pursue their educational route, including through courses offered which have an apprenticeship dimension. Nonetheless, at this stage there are no apprenticeships which are specifically catered for Youth Guarantee participants. Those found to be in Apprenticeship  at exit or follow-up stages are monitored and recorded accordingly.
 -Exits to 2 private educational institutions cannot be monitored since the list of enrolled students was not provided by these institutions. Such destinations are recorded as unknown.</t>
  </si>
  <si>
    <t>PES Register (employed, registering unemployed, in traineeships)
List provided by education institutions of students enrolled in education and in apprenticeships (public and private)</t>
  </si>
  <si>
    <t xml:space="preserve"> -Exits to 2 private educational institutions cannot be monitored since the list of enrolled students was not provided by these institutions. Such destinations are recorded as unknown.</t>
  </si>
  <si>
    <t>Situation inactivity cannot be monitored (recorded as unknown)</t>
  </si>
  <si>
    <t>Exits and follow up situations of YG participants who are enrolled in 2 private education institutions are not recorded. If not found in any other situation, such YG participants are marked as in unknown statuses. 
-The state's offers of apprenticeships are now being monitored and thus exits and follow-up situations of YG participants who are participating in an Apprenticeship, have started to be monitored. The observation period for such a change is from late 2018 onwards. This marked a change in how MT collated the data whereby we tried to address the limitation of not capturing apprenticeships. Previously such individuals were considered as participants in education because such individuals are enrolled in an educational institution where they are offered an apprenticeship.</t>
  </si>
  <si>
    <t xml:space="preserve"> - Social security agency (UWV)
- Municipalities</t>
  </si>
  <si>
    <t>There are no current plans to collect this data.</t>
  </si>
  <si>
    <t>NA</t>
  </si>
  <si>
    <t>Abbr</t>
  </si>
  <si>
    <t>Czechia</t>
  </si>
  <si>
    <t>Direct monitoring data (stock, entrants, exits)</t>
  </si>
  <si>
    <t>25-29</t>
  </si>
  <si>
    <t>Total aged 15-29</t>
  </si>
  <si>
    <t>Number of young people exiting the YG service with a positive known outcome within 4 months / 
total exits from the YG service (%)</t>
  </si>
  <si>
    <t>Average annual stock of young people still in the YG preparatory phase 4 [6, 12] months after the date of registration / 
Average annual stock of young people in the YG preparatory phase (%)</t>
  </si>
  <si>
    <t xml:space="preserve">Number of young people who 6, 12, 18 months after exiting the YG preparatory phase are in a positive (employment, apprenticeship, traineeship, education), negative (unemployed or inactive) or unknown  (all other) status / 
total number of YG exits having reached the relevant observation point. </t>
  </si>
  <si>
    <t>Number of young people who 6, 12, 18 months after exiting the YG preparatory phase with a YG offer of employment have a positive (employment, apprenticeship, traineeship, education), negative (unemployed or inactive) or unknown (all other) status / 
total number of young people who exited the YG preparatory phase with a YG offer of employment and have reached the relevant observation point.</t>
  </si>
  <si>
    <t>Number of young people who 6, 12, 18 months after exiting the YG preparatory phase with a YG offer of continued education have a positive (employment, apprenticeship, traineeship, education), negative (unemployed or inactive) or unknown (all other) status / 
young people who exited the YG preparatory phase with a YG offer of continued education and have reached the relevant observation point.</t>
  </si>
  <si>
    <t>Number of young people who 6, 12, 18 months after exiting the YG preparatory phase with a YG offer of an apprenticeship have a positive (employment, apprenticeship, traineeship, education), negative (unemployed or inactive) or unknown (all other) status / 
young people who exited the YG preparatory phase with a YG offer of apprenticeship and have reached the relevant observation point.</t>
  </si>
  <si>
    <t>Number of young people who 6, 12, 18 months after exiting the YG preparatory phase with a YG offer of a traineeship have a positive (employment, apprenticeship, traineeship, education), negative (unemployed or inactive) or unknown (all other) status / 
young people who exited the YG preparatory phase with a YG offer of traineeship and have reached the relevant observation point.</t>
  </si>
  <si>
    <r>
      <t xml:space="preserve"> - been assessed as eligible for support (i.e. is aged under 29 and NEET); </t>
    </r>
    <r>
      <rPr>
        <u/>
        <sz val="11"/>
        <color theme="1"/>
        <rFont val="Calibri"/>
        <family val="2"/>
        <scheme val="minor"/>
      </rPr>
      <t>and</t>
    </r>
  </si>
  <si>
    <r>
      <t xml:space="preserve"> -</t>
    </r>
    <r>
      <rPr>
        <sz val="7"/>
        <color theme="1"/>
        <rFont val="Times New Roman"/>
        <family val="1"/>
      </rPr>
      <t> </t>
    </r>
    <r>
      <rPr>
        <sz val="11"/>
        <color theme="1"/>
        <rFont val="Calibri"/>
        <family val="2"/>
        <scheme val="minor"/>
      </rPr>
      <t>Total (aged 15-29)</t>
    </r>
  </si>
  <si>
    <t xml:space="preserve"> - 25-29</t>
  </si>
  <si>
    <t xml:space="preserve">  - 20-24</t>
  </si>
  <si>
    <t xml:space="preserve">Registered jobseekers aged 15-29, excluding those that are employed or participating in an education/training measure. </t>
  </si>
  <si>
    <t>VDAB: The information on exits is based on administrative data kept in the dossier of the job seeker. VDAB receives this information from the person himself, and/or through data exchange with other data sources, inter alia from the Education Department, the Population Register and the service responsible for unemployment benefits (RVA). Information on employment is also derived from the Dimona dataset, in which each employer needs to indicate every entry and exit of an employee to the National Social Security Office (RSZ).
Actiris: Administrative data sources. The PES register is the only direct source of information but it is itself "fed" by other datasources: Social Security Datawarehouse, INAMI datawarehouse (for people deregistered because of sickness), Onem datawarehouse, databases from Training organization (mainly Bruxelles Formation and Partners and VDAB and partners). So the PES DWH is  composed of both internal information (base on what information gave by jobseekers themselves) and external information transmitted for the PES's public (for example information regarding employment (Dimona, DMFA and INASTI dataflows, etc.). Note also that Actiris works with a large number of partners most of which can directly complete the jobseeker's personnal file. On a practical side, our work for completing the quantitative template consists in extracting raw data from the PES DWH useful for the different "sheets" and working on these data to answers the "questions" asked and be able to give meaningful information in the correct format. The same system is used for all BE providers.
Le forem: Official job data (Dimona),  training data (Forem data warehouse) + unemployment database (Stat92, shared database amongst the four regional PES). Same as for exits.</t>
  </si>
  <si>
    <t xml:space="preserve"> VDAB: Employment abroad is only recorded in the dossier of the job seeker when he/she directly reports this information to VDAB. Employment of less than 28 days is not considered as an exit towards employment. The start of a an education or internship that is not recognized by VDAB, it is not recorded and can thus not be counted.
 Actiris: there is a risk because of data availability and limitation of transmission of information from the Social Security Databank. Jobseekers do not always inform the PES of their projects (eg: return to full-time education, employment abroad or in international institutions,...)).
Le Forem:unemployment database Stat92 is not fully updated as time goes by . A various amount of people become de-registered for unknown reasons.</t>
  </si>
  <si>
    <t>PES</t>
  </si>
  <si>
    <t>PATRICIA RODRIGUEZ IGLESIAS</t>
  </si>
  <si>
    <t xml:space="preserve">Actions to reach target population:
Centres have been used to reach to inactive NEETs, to provide information to interested young people and direct them to the PES.
</t>
  </si>
  <si>
    <t>Young people 15-29 registered with the PES as unemployed</t>
  </si>
  <si>
    <t xml:space="preserve">Up to 2020, data included data from SEDA. The SEDA part of the YG project of Vocational training for NEETs has come to an end. There were no new enrolments of youngsters in the active project phase, plus the project ended in January 2021. </t>
  </si>
  <si>
    <t xml:space="preserve"> - </t>
  </si>
  <si>
    <t>The State Revenue Database</t>
  </si>
  <si>
    <t xml:space="preserve">Follow-up data are not in accordance with the YG methodological manual. PES provided micro-level data on those, who became employed within first 6 months after entering YG and participants, who became employed six months after finishing participation in a measure. </t>
  </si>
  <si>
    <t xml:space="preserve">The State Revenue Database </t>
  </si>
  <si>
    <t>Ministry of SZW</t>
  </si>
  <si>
    <t>Frederique de Graaf</t>
  </si>
  <si>
    <t>ftdgraaf@minszw.nl</t>
  </si>
  <si>
    <t>Young people aged 15-29 registered with the social security agency (UWV) or municipalities for (respectively) an unemployment benefit (WW) or social assistance benifit (Participatiewet). The Dutch YG monitor targets individuals who were actually unable to find work, and are more likely to be relitively difficult to place, especially those without (recent) work experience.</t>
  </si>
  <si>
    <t xml:space="preserve">The data includes a breakdown in age categories 15-19; 20-24; and 25-30 and a breakdown in duration &lt;4months; 4-5 months, 6-11 months; and &gt;12 months. Age is determined at 31 December (stock), at entry and at exit. Duration reflects the period of unbroken registration at the PES (UWV), the municipalities or as jobseeker.  </t>
  </si>
  <si>
    <t>Entrants are determined on the basis of registration dates, and counted as an entrants in the case there is no previous registration for the same benefit for a period of 28 days. 
The breakdown by previous YG experience is not known.</t>
  </si>
  <si>
    <t>Exits are determined on the basis of registration dates, and counted as exits in the case there is no following registration for the same benifit for a period of 28 days.</t>
  </si>
  <si>
    <t xml:space="preserve"> -
</t>
  </si>
  <si>
    <t xml:space="preserve"> -</t>
  </si>
  <si>
    <t>DYPA (Greek Public Employment Service)</t>
  </si>
  <si>
    <t>Vlaamse Dienst voor Arbeidsbemiddeling en Beroepsopleiding (VDAB, Flanders), ACTIRIS, FOREM</t>
  </si>
  <si>
    <t>VDAB, ACTIRIS FOREM</t>
  </si>
  <si>
    <t>tina.vanrossem@vdab.be
gjacomet@actiris.be
olivier.demarcin@forem.be</t>
  </si>
  <si>
    <t>Tina Van Rossem 
Jacomet Guillaume
Olivier Demarcin</t>
  </si>
  <si>
    <t>Data for 2014 do not cover all regions/communities (only Le Forem), the methodologies applied differed between regions and there were some important divergences from the specifications of the Indicator Framework.
From 2015, data are comparable, but the following should be considered:
 - 2017 data for Le Forem include breakdown between unknown and inactive situations (previously all recorded under unknown)
- 2022: VDAB made some minor changes to the definition of a jobseeker in Flanders, the other regions still use the previous definition
- ADG does not provide data as of reference year 2020</t>
  </si>
  <si>
    <t>PES: 
Source: PES register
There are two methods to determine the destination of an exit:
1) Exit destination comes from the reason of ending the unemployment spell. The reasons may include: employment, full-time education, death, retirement, military service, voluntary exit, sanctions for not fulfilling the requirements of being registered unemployed and others. The reasons may be verified (based on registry data) or unverified (people's own sayings)
2) Exit destination is determined on the type of LMP that a young person starts:
-Subsidised employment: wage subsidy; business start-up subsidy; my first job; working with a support person
-Subsidised education: labour market training; a degree study allowance
-Subsidised traineeship: work practice</t>
  </si>
  <si>
    <t xml:space="preserve">PES: Not available
MER: 
- Data cover only the situation of young people 6 months after exiting. The situation of young people 12 and 18 months after exiting is not monitored. 
- As all exits are recorded as exits to unknown destinations, follow-up data are not broken down by type of exit. 
- Young people who 6 months after the exit both worked and studied - they are currently included under situation education.
- Situation inactivity refers to people on maternity/paternity leave and on military service.
</t>
  </si>
  <si>
    <t>Elisa Schwärzler</t>
  </si>
  <si>
    <t xml:space="preserve"> - Estonian Unemployment Insurance Fund (PES)
</t>
  </si>
  <si>
    <t xml:space="preserve">PES: Indrek Polding
</t>
  </si>
  <si>
    <t xml:space="preserve">Indrek.Polding@tootukassa.ee
</t>
  </si>
  <si>
    <t xml:space="preserve"> - Public Employment Service (PES) 
</t>
  </si>
  <si>
    <t>PES: 
Young people aged 16-29 (not 15-29) registered with the PES as unemployed.
MER (up to 2021): 
The Youth Prop-Up Programme and the Hoog Sisse Programme: Young people between 15-26-years of age (there are some young people who are older than 26-years of age)</t>
  </si>
  <si>
    <t xml:space="preserve">
PES: 
1-day training and examination for certifications have been included as education offers and counted in the exits. Work practice, which typically lasts around 2 months but can be as short as three days, is reported as a traineeship offer.
MER (up to 2021):
MER YG programmes (i.e., the Youth Prop-Up Programme and the Hoog Sisse Programme) are targeted at young people between the ages of 15 to 26. The programme uses Logbook (i.e., an electronic monitoring system) to gather everyday statistics. The properties of the electronic monitoring system do not allow us to provide all the information according the criteria set out in the methodological manual. We will provide explanations on the metadata sheet as well as all the other relevant sheets. 
Overlaps between the two datasets are possible (i.e. participants may be double-counted). </t>
  </si>
  <si>
    <t xml:space="preserve">PES: 
 - People exiting a measure that constitutes an offer (PES training or traineeships) are counted as re-entrants to the YG scheme, although participation in PES training and traineeships does not break up their unemployment spell.
 - Breakdown of entrants by previous YG experience is not available.
</t>
  </si>
  <si>
    <t xml:space="preserve">PES: 
Stock data are based on quarterly and not monthly averages and correctly exclude people participating in an ALMP (and counted as an offer) that does not break the unemployment spell.
</t>
  </si>
  <si>
    <t xml:space="preserve">  PES: 
- Exit from the YG coincides with end of the spell as registered unemployed thus exits to unemployment are reported as zero.  
- Apprenticeships are part of the formal education system. Exits are thus recorded under education.
- Exits to inactivity are reported as unknown.
</t>
  </si>
  <si>
    <t xml:space="preserve">PES: 
The risk of missing positive outcomes comes only from the first method (reason of ending the uneployment spell). Only one reason for exit is stated, that means that for example if a person chooses to exit voluntarily then PES won’t know what the actual destination of this exit was.
</t>
  </si>
  <si>
    <t xml:space="preserve">PES: Not applicable
</t>
  </si>
  <si>
    <t>Aliki Anitsi</t>
  </si>
  <si>
    <t>The source is the historical file of Pole Emploi (the data were also compiled by Pole Emploi)
Missions Locales: The destination of the exit are filled by the youngs' counselors in the missions locales application.</t>
  </si>
  <si>
    <t>Exits are recorded only after 18 months, and this has an an effect on their destinations (see above)
Missions Locales: Positive outcomes can be missed if counselors do not know about them.</t>
  </si>
  <si>
    <t>Inès Baer</t>
  </si>
  <si>
    <t>ines.baer@adem.etat.lu</t>
  </si>
  <si>
    <t>Young people aged 15-29 registered with PES as unemployed.</t>
  </si>
  <si>
    <t xml:space="preserve"> - Entry to the YG coincides with registration as unemployed thus all entrants are registered unemployed.
 - Previous YG experience is not measured.
</t>
  </si>
  <si>
    <t>As we do not have access to the educational registers, unknown exits include exits to education as well as initial apprenticeship.</t>
  </si>
  <si>
    <t>Alona Tutova</t>
  </si>
  <si>
    <t>Alona.Tutova@lm.gov.lv</t>
  </si>
  <si>
    <t xml:space="preserve">PES: The probability of not counting in positive outcomes is very high, especially for exits to education. Exits to formal education (incl. apprenticeships) and traineeships cannot be monitored. Exits to formal education is based on self-reporting. </t>
  </si>
  <si>
    <t>Ms.Doriana Bezzina</t>
  </si>
  <si>
    <t>doriana.bezzina@gov.mt</t>
  </si>
  <si>
    <t>Historical data comparable but the following should be taken into account: 
- The YG started being implemented in July 2014. Thus, 2014 data cover July-December 2014
- Different coverage: 2014 data include some non-NEETs benefitting from preventative actions. As of 2021, data cover all WES participants and registered unemployed.
- Destination inactivity in 2014 was recorded as unknown from 2015.
- Destination apprenticeships started being monitored from 2018.
- Employment offers have also started being recorded by means of the A2E scheme. Thus, participants can be recorded as in employment both through self-initiative offers as well as through the provision of  actual employment offers.</t>
  </si>
  <si>
    <t>PES: People aged 18-29 registered as unemployed with the PES.
Regional PES: Young people aged 15-29 from the NEET group covered by the support (activation projects) within the Action 1.2 and 1.3. of the Operational Programme Knowledge Education Development.
BGK: NEETs aged 18-29 who apply for a start-up loan from the BGK bank.</t>
  </si>
  <si>
    <t>BGK: no breakdown of entrants by previous YG experience.</t>
  </si>
  <si>
    <t>BGK: entry occurs on application for a loan and exit when it is granted. Participation in the preparatory phase is thus the waiting period, which – for the purposes of calculating stocks - is estimated to last 1 month.</t>
  </si>
  <si>
    <t>Instituto do Emprego e Formação Profissional</t>
  </si>
  <si>
    <t>Cristina Faro</t>
  </si>
  <si>
    <t>cfaro@iefp.pt</t>
  </si>
  <si>
    <t xml:space="preserve"> -  </t>
  </si>
  <si>
    <t>The outputs that are not collected and are counted as a unknown exit are:
- exits to regular education (we only identify these exits by young person declaration);
- emigration;
- employment with exemption from single social security;
- employees receiving sickness benefit.</t>
  </si>
  <si>
    <t>Data from PES job search and data from social security on employers' declared pay</t>
  </si>
  <si>
    <t>Public Employment Services (PES)</t>
  </si>
  <si>
    <t xml:space="preserve">The Youth Guarantee targets yough aged 16-29.  YG monitoring data covers young people registred as unemployed with the public employment services (PES), aged 16-29 years. </t>
  </si>
  <si>
    <t xml:space="preserve">Data on previous YG experience became available in 2018 (for ref. years 2016 and 2017).
For ref. year 2018 it was not possible to provide breakdowns of subsidised exits by sex and duration of unemployment. </t>
  </si>
  <si>
    <t xml:space="preserve">The source used to extract the data on exits by destination is PES database. PES database includes people looking for a job as follows: unemployed (entitled or not to receive unemployment benefits) and other categories of people looking for a job, registered in PES database. </t>
  </si>
  <si>
    <t>In the category of "unknown" persons of the "Exits" sheet, there are people for whom the reasons for leaving  the YG scheme are not covered by the ones mentioned in the reporting situation, as follows: in the case of becoming deprived of their liberty, when they leave the country, when their registration period expires and they and do not require to be maintained in PES database as jobseekers, usually in the case of unemployed who are not entitled to unemployment benefit.
We appreciate that  the young people belonging to this category might can return to SPO or might become inactive, but, unfortunately, we do not have any related information in our database.</t>
  </si>
  <si>
    <t xml:space="preserve"> - Follow-up data refer to the situation of all persons that reached at least 6, 12 and 18 months after exit on the date of observation (end of reference year for duration 6 months, end of following year for durations 12 and 18 months). This means that the observation point is variable and will be more than 6, 12 and 18 months for many of those covered.
 - Only situations employment and unemployment are covered.
The follow-up situation of those that exited to traineeships and apprenticeships is unknown.
</t>
  </si>
  <si>
    <t>The data source used for extracting follow-up data is the PES database.</t>
  </si>
  <si>
    <t>Follow-up data cover only situations employment and unemployment and thus positive situations are largerly underestimated.</t>
  </si>
  <si>
    <t>Ministry of Employment</t>
  </si>
  <si>
    <t>Tomas Skytesvall</t>
  </si>
  <si>
    <t>tomas.skytesvall@regeringskansliet.se</t>
  </si>
  <si>
    <t>Young people aged 15-29 registered with the PES as unemployed (i.e. persons starting a claim for full- or part-time unemployment benefits).</t>
  </si>
  <si>
    <t xml:space="preserve"> - Exit from the YG coincides with the end of the unemployment spell thus exits to unemployment are reported as zero.
 - Exits to inactivity refer to those participants that are not able to work or are seeking to work in another EU/EEA country.
- Exits to apprenticeships are zero because a) there are no subsidised apprenticeships (ie. relevant measures were discontinued in 2018) and b) unsubsidised apprenticeships are counted under employment
 - Unsubidised exits to traineeships are counted under unknown exits</t>
  </si>
  <si>
    <t>Data is retrieved from PES data warehouse and the individuals status at certein points in time are retrieved.</t>
  </si>
  <si>
    <t>If their status is registred in the data warehouse there is no problem. But if we can't get in contact to know what has happened we don't have data.</t>
  </si>
  <si>
    <t>See above</t>
  </si>
  <si>
    <t>Public Employment Service of Slovenia</t>
  </si>
  <si>
    <t>Public Employment Service of Slovenia (and its external contractors)</t>
  </si>
  <si>
    <t>Cross-reference of data in public registers: PES (data on unemployment),  Health Insurance Institute of Slovenia (employment), Ministry of education (database of participants in all levels of education)</t>
  </si>
  <si>
    <t xml:space="preserve">Employment, unemployment and education covered. </t>
  </si>
  <si>
    <t>same as T</t>
  </si>
  <si>
    <t xml:space="preserve">The same sources and methods were used as for compiling data on exits by destination. </t>
  </si>
  <si>
    <t>The same as for exits - cross-reference of data in public registers: PES (data on unemployment),  Health Insurance Institute of Slovenia (employment), Ministry of education (database of participants in all levels of education)</t>
  </si>
  <si>
    <t>Interruptions of YG scheme (in Slovenia it equals to interuption of unemployment spell or, in other words, deregistration from unemployment register) are recorded in following cases: temporary or permanent inability to work, entering rehabilitation scheme, maternity leave, entering military service. The above-mentioned exits were recorded as deregistration from unemployment register and interuption of YG scheme. The only exception are unemployed, who were excused from active job search activities (longer than 28 days) due to sickness. These unemployed remain in the register of unemployed (not counted as an interruption of unemployment spell) and they also remain in the YG stock. Unfortunately, in this cases we are not able to comply with the 28-day rule due to technical issues (PES application restrictions), but since those cases are rare, our estimation is that this issue does not have a statistically significant impact on YG indicators.</t>
  </si>
  <si>
    <t>Ministry of Labour, Social Affairs and Family</t>
  </si>
  <si>
    <t>Dominika Kosztolányi</t>
  </si>
  <si>
    <t>According to Council Recommendation on a Bridge to Jobs - reinforcing the Youth Guarantee Slovakia has raised the age limit up to 30 years (30 years minus 1 day).</t>
  </si>
  <si>
    <t xml:space="preserve"> - Exit from the YG coincides with the ending of the unemployment spell so exits to unemployment are zero.
 - Exits to inactivity include: imprisonment, remand custody, maternity leave, depart to an EU Member State or a third country for over 15 calendar days (except in the case of treatment in a third country), request for de-registration for care of children under 10 year or verified personal care for a closely-related person dependent on full-time personal care, request for de-registration and no cooperation with the PES.
 - Exits to unemployment for the 25-29 age group correspond to participants reaching the age limit (29 years old), which are deregistered as YG participants, remain registered with the PES.</t>
  </si>
  <si>
    <t>The sources are database of PES (Employment Services Information System) and database of Social Agency.</t>
  </si>
  <si>
    <t>There is a risk of missing positive outcomes. 
Particularly, exits to inactivity - depart to an EU Member State or a third country for over 15 calendar days. From available sources, we cannot assess whether it is a positive outcome (e.g. leaving for work) or not. For that reason these exits are counted as unknown.</t>
  </si>
  <si>
    <t>All situations except inactivity are monitored after linking database of PES and social security agency.</t>
  </si>
  <si>
    <t>There is a risk of missing positive outcomes. 
Particularly, exits to inactivity - depart to an EU Member State or a third country for over 15 calendar days. From available sources, we cannot assess whether it is a positive outcome (e.g. leaving for work) or not. For that reason we cannot evaluate the situation 6, 12, 18 months afer took up the offer.</t>
  </si>
  <si>
    <t>ivo.ivanov@az.governmenr.bg</t>
  </si>
  <si>
    <t xml:space="preserve">Public Employment Service (PES) </t>
  </si>
  <si>
    <t>The data in Exits is formed by the grounds for termination of registration under the register of the Employment Agency. "Employment" refers to all persons whose registration has been terminated due to "taking up employment". "Internship" includes all persons with terminated registration "started work under programs/measures - internship" (interns from 2019). In "Internship" all persons with terminated registration "started work under program/measure - internship" are recorded. "Education" refers to all persons who have returned to the regular education system.</t>
  </si>
  <si>
    <t>No criterion has been established for the duration of participation in the specific measure. This means that as soon as the young person is included in the relevant measure - he has accepted the measure, the exit to this measure is a registrar, even if his stay in it is 1 day.</t>
  </si>
  <si>
    <t xml:space="preserve"> - Any apprenticeships are recorded as employment since 2019. 
- Inactivity cannot be monitored.
- Traineeships refer only to those still in the traineeship offer.</t>
  </si>
  <si>
    <t xml:space="preserve"> - Persons who do not have an active registration in both the National Revenue Agency and the Employment Agency registers are in the "unknown" category. 
- Persons who started work in the state administration, the police or the army cannot be counted as employed due to lack of access to the register of the mentioned institutions. According to expert assessment, the number of young people who started work in these areas is less than 1%.
 - Persons exercising registered commercial activity are also not counted as employed.
 - The risk of missing information about a positive result is also possible for individuals participating in formal education and training. Checking the Ministry of Education and Science register for these situations was not possible at the time of this data collection.</t>
  </si>
  <si>
    <t xml:space="preserve"> - Data on YG entrants for 2014 and 2015 are not compliant with the YG methodology and are not consistent with subsequent years.  2017 exits data include exits to inactivity (destination missing for previous years).
 - Following the Ministerial Decision No 82.709, 25/05/2017, monitoring data have been expanded to also cover the age group 25-29 as of reference year 2018. 
 - A new monitoring system is impemented as of reference year 2020. Currently ALMP's imported and monitored in the system are the ones offered by the Department of Labour and Human Resource Developing Authority of Cyprus. 
 - In 2022 the duration of "on hold" unemployment registration was reduced. When a jobseeker does not renew his/her unemployment on time, we had 90 days of  "on hold" status where officers could correct that the exact reason of exit. This period is now reduced to 28 days. Additionaly the absent of employment schemes with incentives affected the employment exits.
 -  Exits to unemployment are provided in years 2022 and 2020 and refer to participants that took up an offer to employment but returned to the unemployment register within 28 days in 2022 data and 30 days in 2020 data. In 2021, exits to unemployment were not recorded (included under unknown). In remaining years exits to unemployment were 0 as exit from the YG coincided with the end of the unemployment spell.
 - As of 2020 participants in training whose duration is confirmed to be &gt; 30 days (though in many cases duration is unknown) and who remain registered unemployed are excluded from stocks during the training.
 - After the the outbreak of pandemic covid 19 , PES performed automatic renewals of registrations. These automatic renewals stopped In June 2021.
 - Exits to inactivity are unknown for 2022 data and for 2020 data, exits to inactivity were reported only for age group 25-29. For 2021 data, inactivity refers to exit because of jobseeker refusal in accepting 2 offers. In previous years, exits to inactivity included people who are not in employment, not in unemployment or training).</t>
  </si>
  <si>
    <t xml:space="preserve"> - Exits from the YG coincides with the end of unemployment spell, thus exits to unemployment are not possible (=0).
-  Exits to inactivity refers to 1) exit because of two unjustified job offers rejections  2) sickness 3)any reason that officer consider </t>
  </si>
  <si>
    <t xml:space="preserve"> - Exits to education and apprenticeships cannot be monitored and are recorded under unknown destinations. 
- Exits to some trainesship offers cannot be monitored and are recorded under unknown destinations.</t>
  </si>
  <si>
    <t>Follow-up data for situations apprenticeship, traineeship and education are not available.</t>
  </si>
  <si>
    <t>Nina Thøgersen</t>
  </si>
  <si>
    <t>nith@star.dk</t>
  </si>
  <si>
    <t>anitsi@dypa.gov.gr</t>
  </si>
  <si>
    <t>PES MAIN (DYPA'S REGISTRY)
EPAS (DYPA's Vocational Schools)</t>
  </si>
  <si>
    <t xml:space="preserve">DYPA (PES) register 
Deregistration must come with a reason so possible reasons are characterized as positive, negative or unknown. Also, exits to education (that do not result to deregistration) derive from information on participants of the programme. Exits to employment are automatically recorded as such, via interconnection with ERGANI IS for salaried employment (both subsidised and unsubsidised) 
</t>
  </si>
  <si>
    <t xml:space="preserve">DYPA:
 - Exits to self-employment are not fully recorded in database except for participants in ALMPs. Only a few cases of self employment are actually reported to DYPA (usually the unemployment spell ends due to no renewal-no estimation possible). However, through tax records documents, self employment is retroactively recorded to the database for those that (against regulations) continue to renew their unemployment card, but most of the times not before the end of next year. 
 - Information about possible exits to education (despite the obligation of the unemployed to report it) are not available in general (not monitored by DYPA). If reported or proved a posteriori, thus recorded retroactively, they are included in the data, yet still severe underestimation occurs.
 - Exits to traineeship (despite the obligation of the unemployed to report it) are not available in general (not monitored by DYPA). If reported or proved a posteriori, thus recorded retroactively, they are included in the data, yet still severe underestimation occurs.
- Exits to apprenticeships (outside the framework of EPAS, PEPAS) (despite the obligation of the unemployed to report it) are not available in general (not monitored by DYPA). If reported or proved a posteriori, thus recorded retroactively, they are included in the data, yet still underestimation occurs.
</t>
  </si>
  <si>
    <t>Please note that Future situation "traineeship" contains both continued education programmes and training programmes. In the ERGANI IS they are both reported as training vouchers. Thus, we cannot make the dinstiction between them.
EPAS/PEPAS: Follow-up data are estimated based on the duration of the programme.</t>
  </si>
  <si>
    <t xml:space="preserve">a. DYPA register, regarding unemployment
b. ERGANI IS for salaried employment (both subsidised and unsubsidised), training courses sponsored by ESF or by national funds, continued education programmes and apprenticeships (both inside and outside the framework of the EPAS programmes).
These two Systems interconnect, so there is no overlapping between employment and unemployment. This however, does not apply for continued education programmes, because a person can be both unemployed and in continued education programmes or in certain training programmmes at the same time (and can be found both in PES register and ERGANI IS). In these cases priority is given to the ERGANI outputs. Unfortunately, we cannot distinguish continued education programmes from training programmes in the ERGANI IS, as they are both reported as training vouchers. Thus, for all these cases, future situation is recorded as "in training".
EPAS/PEPAS: 
- Given that the EPAS and PEPAS apprenticeship programmmes last for 2 years, all persons exiting into the programmes are considered being still in the programme 6, 12, 18 months after exiting. Thus, FU data are identical to exit data for all 3 check points.
</t>
  </si>
  <si>
    <t xml:space="preserve">Follow-up data for future situation being self-employed or inactive or in the typical/formal education system cannot be monitored.
EPAS/PEPAS: 
- Given that the EPAS and PEPAS apprenticeship programmmes last for 2 years, all persons exiting into the programmes are considered being still in the programme 6, 12, 18 months after exiting. Thus, FU data are identical to exit data for all 3 check points.
</t>
  </si>
  <si>
    <t xml:space="preserve"> - Exit from the YG coincides with the end of the unemployment spell thus, exits to unemployment are reported as zero.
- Exits to inactivity are based on reasons for de-registration. Reasons for de-registration include: general disability, temporary disability, custody, prison, military service, birth- or parenting-related reasons, death. These were not provided for reference year 2021.
- Exits to apprenticeship are included under exits to education.
- Exits to some traineeships are recorded under education.</t>
  </si>
  <si>
    <t>Ministry for National Economy</t>
  </si>
  <si>
    <t>Tamara Vidrinszky</t>
  </si>
  <si>
    <t>tamara.vidrinszky@ngm.gov.hu</t>
  </si>
  <si>
    <t>Department of Social Protection</t>
  </si>
  <si>
    <t>Duran Marques</t>
  </si>
  <si>
    <t>duran.marques@welfare.ie</t>
  </si>
  <si>
    <t>Exit to employment: Revenue PMOD file.
Exit to Education: Higher Education Authority file.
Exit to Apprenticeship: Solas Apprenticeship file and PLSS files.</t>
  </si>
  <si>
    <t>n/a</t>
  </si>
  <si>
    <t>Not provided</t>
  </si>
  <si>
    <t>The data source used is the MLPS- Active and Passive Labour Policies database, which links participation in YG (SAP archive) and the employment situation (CO archive) on an individual level</t>
  </si>
  <si>
    <t>Follow-up data for participants in inactivity, self-employment and in non-subsidised education and training programmes cannot be monitored (recorded under unknown)</t>
  </si>
  <si>
    <t xml:space="preserve"> - Refined measurement of exits (28-day rule) introduced in 2015 data.
 - Since 2016 the dataset has been extended to also cover data from Department of Youth Affairs under the Ministry of Social Security and Labour (covering inactive NEETs that participated in the project "Discover Yourself" (ended in 2018) and since 2019, data from the project "Let's move").
 - Treatment of re-entry following participation in an ALMP that does not break the unemployment spell 
 -  from May, 2020,  persons,  studyin at a higher education institution according to full-time study programs or according to formal vocational training programs at their own expense have a right to register with the Employment service as unemployed and get benefits (including unemployment benefits), but these unemployed are not included in this data, since they cannot participate in YG.
- As of 2022 data include those with the status of the person getting ready for the labour market. The status may be granted to those alredy registered unemployed (not counted again as entrants) as well as to newly registered (not signifficant impact on entrants).
- Until ref year 2021 entrants were understated as re-entrance of participants that exited to measures not breaking the unemployment spell were not counted. Thus, one entrant could have more than one exits. As of 2022 the counting of entrants has been revised to be in accordance with §21 of the Methodological Manual, i.e. persons who have been restored to the status of unemployed person after participation in a temporary employment (which lasted for more than 28 days) are also counted as entrants (according to the national legislation, registration of such unemployed persons continues and the duration of the registration is calculated further). There were more than 4 thousand such young unemployed in 2022. Additionally, there was a revision in the way duration is calculated (calculated from the date of return rather than the date of registration).</t>
  </si>
  <si>
    <t xml:space="preserve"> - Inactivity includes de-registrations from unemployment due to court verdict, death, determined incapacity.
 - Unknown destinations correspond to voluntary de-registrations for which no information is available. It might include transition to education, migration, inactivity. Around a third of unknown destinations are de-registrations for sanctions (e.g. due to refusal of offer, unjustified refusal to participate in measures, and irregular employment).</t>
  </si>
  <si>
    <t xml:space="preserve"> - The YG started being implemented in July 2014. Thus, 2014 data cover months June-December.
 - Up to reference year 2019, re-entrants were not recorded (the YG framework expects re-entrants to be counted and treated equally with first-time entrants). Thus, data are not comparable with subsequent years which also cover repeat entrants.</t>
  </si>
  <si>
    <t xml:space="preserve"> - Exit from the YG coincides with the take-up of an offer or the de-registration from the PES, thus exits to unemployment are reported as zero.
 - Exits to inactivity are unknown.
 - Exits to subsidized education can only be captured if the education programme is organized by the PES. Other exits to education are based on self-reporting and it is not known if they are subsidized.
- Exits to apprenticeship only cover adult apprenticeships and not initial apprenticeships for which the PES does not have the data (recorded under unknown).
- Exits to traineeships only cover traineeships organized by the PES.</t>
  </si>
  <si>
    <t xml:space="preserve"> - Those in regular apprenticeships 6, 12 and 18m after exit are reported as being employed.
- Those in inactivity are reported as unknown.</t>
  </si>
  <si>
    <t>Jobsplus within the Ministry for Home Affairs, Security and Employment</t>
  </si>
  <si>
    <t>PES: Ministry of Family, Labour and Social Policy
Regional PES: Ministry of Development Funds and Regional Policy, ESF Department
Bank Gospodarstwa Krajowego (BGK) (National Development Bank)</t>
  </si>
  <si>
    <t>PES: Anna Pamerska
Regional PES: Sylwia Kowalczyk
BGK: Łukasz Staniszewski</t>
  </si>
  <si>
    <t>Data cover the mainland only - Madeira and the Azores are not covered. YG providers covered:  Public Employment Service (PES)</t>
  </si>
  <si>
    <t>Young people aged 15-29 registered in the YG scheme. 
Note: individuals who were already registered with the PES end of February 2014 were also transferred to the YG following an assessment of their individual action plans.
Data cover mainline only (Madeira and Azores are not covered).</t>
  </si>
  <si>
    <t xml:space="preserve"> - Entry to the YG normally coincides with registration as unemployed so that the vast majority of entrants are registered unemployed. A small proportion of entrants that are not registered unemployed correspond to young people who are sent to apprenticeship courses and who are not registered as unemployed (4% in 2023). </t>
  </si>
  <si>
    <t xml:space="preserve"> - Exit from the YG coincides with end of the spell as registered unemployed thus, exits to unemployment is not possible (reported as zero). 
 - Exits to inactivity include participants refusing offers with no justification (they are also de-registered from the PES).
 - Exits to regular education are recorded under unknown exits unless declared by the participant.
 - People emigrating, employed but exempted from single social security or receiving sickness benefit are counted as exits to unknown destination.</t>
  </si>
  <si>
    <t>PES system for employment (SIGAE) and templates completed by the other partners.
All information is individualised and stored in a database dedicated to the Young Guarantee.</t>
  </si>
  <si>
    <t xml:space="preserve">Not known if persons with previous YG experience exited to an offer or not. </t>
  </si>
  <si>
    <t>- Up to 2017, apprenticeships were available only to students (i.e. poeple moving directly from education/training and not those already NEET) so no exits to apprenticeship were possible. As of 2018, exits to apprenticeships are possible but counted under education.
- An exeption within PES training programmes that is counted as exit to education has minimum duration of 1 day. However, cases of such short duration are a minority and on average the duration is much higher (cca 75 days). 
- Exit from the YG coincides with end of the unemployment spell so destination unemployment is always zero.
- Exit to inactivity refers to deregistered due to sanction, incarceration longer than 6 months, death, voluntary military service, maternity/parental leave, retirement (disability) and others temporairily not available for work (long-term illnes).'</t>
  </si>
  <si>
    <t>dominika.kosztolanyi@employment.gov.sk</t>
  </si>
  <si>
    <t>Since 2023 we have changed the methodology according to methodological manual. Age refers to the age of a young person on entry to the YG service (registration) for all variables. We no longer measure the age of a young person on the date of observation.</t>
  </si>
  <si>
    <t>Public Employment Service (PES): 
- France Travail
- Missions Locales</t>
  </si>
  <si>
    <t>France Travail: Young people 16-29 registered as unemployed with France Travail (excluding those whose counselling program was delegated to Missions Locales).
Missions Locales: Young people 16-29 participating in one of the programs provided by the Missions Locales.</t>
  </si>
  <si>
    <t xml:space="preserve"> - Participants registered with both France Travail and Missions Locales may be double counted.
 - Data cover participants aged 16-29 years old and not 15-29.
 </t>
  </si>
  <si>
    <t>France Travail:
 - Exits to regular education are recorded as exits to traineeships.
 - Exits to apprenticeships are recorded as exits to employment.
 - Exits to unemployment refer to ref. year T-1 and cover people still registered as a category A jobseeker after 18 months but who have not received an offer in this period. The Indicator Framework does not foresee a time-limit to participation in the preparatory phase so such people should normally be considered as part of the stock and not as exits, and continue to receive YG services.
 - Data on inactivity are not available (included under unknown).
 - Unknown exits refer to people who are no longer on the register 18 months after entry and who have no record of being placed in work or training.
- The observation point for negative (i.e. unemployment) and unknown destinations does not reflect the actual point of exit (exits are recorded only after 18 months). It means they may not be reported in the year in which they occur and that none can occur within 4 months (i.e. 100% of timely exits are positive).
Missions Locales:
 - Exit corresponds to end of a program provided by youth centres without having been in another program during the next 1 month. 
 - Situation recorded based on information provided by participants. For positive situation, the "closest to employment" is recorded. Negative exits cannot be distinguished between inactivity or unemployment (included under unemployment). Exits to unemployment include non-registered unemployed.</t>
  </si>
  <si>
    <r>
      <t>Previous YG experience within 12 months (</t>
    </r>
    <r>
      <rPr>
        <b/>
        <sz val="11"/>
        <color theme="0"/>
        <rFont val="Calibri"/>
        <family val="2"/>
      </rPr>
      <t>§71)</t>
    </r>
  </si>
  <si>
    <r>
      <rPr>
        <sz val="11"/>
        <rFont val="Calibri"/>
        <family val="2"/>
        <scheme val="minor"/>
      </rPr>
      <t xml:space="preserve"> - Detailed definitions of the indicators used to monitor the Youth Guarantee are provided in the </t>
    </r>
    <r>
      <rPr>
        <u/>
        <sz val="11"/>
        <color theme="10"/>
        <rFont val="Calibri"/>
        <family val="2"/>
        <scheme val="minor"/>
      </rPr>
      <t>Youth Guarantee indicator framework</t>
    </r>
    <r>
      <rPr>
        <sz val="11"/>
        <rFont val="Calibri"/>
        <family val="2"/>
        <scheme val="minor"/>
      </rPr>
      <t>.</t>
    </r>
  </si>
  <si>
    <r>
      <rPr>
        <sz val="11"/>
        <rFont val="Calibri"/>
        <family val="2"/>
        <scheme val="minor"/>
      </rPr>
      <t xml:space="preserve"> - Detailed definitions of the data required are given in the </t>
    </r>
    <r>
      <rPr>
        <u/>
        <sz val="11"/>
        <color theme="10"/>
        <rFont val="Calibri"/>
        <family val="2"/>
        <scheme val="minor"/>
      </rPr>
      <t>Youth Guarantee methodological manual</t>
    </r>
    <r>
      <rPr>
        <sz val="11"/>
        <rFont val="Calibri"/>
        <family val="2"/>
        <scheme val="minor"/>
      </rPr>
      <t>.</t>
    </r>
  </si>
  <si>
    <t xml:space="preserve"> - All values entered (stocks/entrants/exits/subsequent situation) should be absolute numbers of young persons (see additional comments re subsequent situation on the follow-up sheets).</t>
  </si>
  <si>
    <t>Relevant paragraphs are indicated in the text below and in the data collection fiches.</t>
  </si>
  <si>
    <t xml:space="preserve">* </t>
  </si>
  <si>
    <r>
      <rPr>
        <b/>
        <sz val="11"/>
        <rFont val="Calibri"/>
        <family val="2"/>
        <scheme val="minor"/>
      </rPr>
      <t xml:space="preserve">For full definitions please refer to the </t>
    </r>
    <r>
      <rPr>
        <b/>
        <u/>
        <sz val="11"/>
        <color theme="10"/>
        <rFont val="Calibri"/>
        <family val="2"/>
        <scheme val="minor"/>
      </rPr>
      <t>Youth Gurantee methodological manual</t>
    </r>
    <r>
      <rPr>
        <b/>
        <sz val="11"/>
        <rFont val="Calibri"/>
        <family val="2"/>
        <scheme val="minor"/>
      </rPr>
      <t>.</t>
    </r>
  </si>
  <si>
    <t>Federal Ministry of Labour, Social Affairs, Health, Care and Consumer Protection</t>
  </si>
  <si>
    <t>elisa.schwaerzler@sozialministerium.gv.at</t>
  </si>
  <si>
    <t>The data on  Youth Guarantee - 2024 exercice were collected from the register of EA jobseekers through the microdata for persons who had at least 1 day continuous presence in the register and were in the age range of 15 - 29 years on the date of registration.
The data on transitions from unemployment to formal education refer only to young people who terminated their registration for the reason - "regular education".
Only young people who accepted the measure - "inclusion in training" at the initiative of EA are counted in trainее destination</t>
  </si>
  <si>
    <t xml:space="preserve"> - Exit coincides with end of the unemployment spell so destination unemployment is always zero.  
- Exits to education correspond to reinsertion to the regular education/training system without any specific programme designed to promote this transition
- Exits to apprenticeships are recorded under traineeships as they do not lead to recognised qualifications. Up until 2019, exits to apprenticeships were recorded separately and included some traineeships as well as take-up of dual-learning training system (not subsidised, but all recorded as subsidised).  
- Registration to YG terminated by PES due to failure to comply with recommendations or refusal of offer (i.e. sanctions) are recorded under unknown exits since 2024 (previously under inactivity).</t>
  </si>
  <si>
    <t xml:space="preserve"> - A risk of missing information on persons with a positive result exists for those who leave the unemployment register of their own accord, without stating the reason for this. A check in the register of employment contracts of the National Revenue Agency showed this year that 7.3% of them had a registered employment contract in the month in which they left the register of the Agency on employment at their request. These individuals were reported in destination "Unknown". 
- Apprenticeship exits remain unobservable and are reported as 'unknown'.</t>
  </si>
  <si>
    <t xml:space="preserve">As of 2024, exits due to termination of registration by the PES due to failure to comply with recommendations or refusal of offer) are recorded under unknown exits (previously under inactivity). </t>
  </si>
  <si>
    <t xml:space="preserve">
Interruptions for any reason shorter than 28 days, are not be taken in account (not counted as exits nor as entrants and duration of unemployment is not broken). In 2020-2022, those returning to the register within 28 days were recorded as exits to unmployment (2020 and 2022) or unknown exits (2021).</t>
  </si>
  <si>
    <t xml:space="preserve"> - Stocks include young people participating in ALMP that do not break the unemployment spell.</t>
  </si>
  <si>
    <t xml:space="preserve"> - Exit from the YG coincides with end of the spell as registered unemployed thus exits to unemployment are reported as zero. 
 -  Exits to continued education include exits to 1-day trainings. However, this is very rare.
 - For exits to ALMP where participants remain registered with the PES, a participant may have two exits (but only one entry). 
 -  Exits to inactivity cannot be monitored.
 -  Exits to traineeships that take place in the Czech Republic are recorded as exits to employment. Exits to traineeships that take place abroad are correctly recorded as exits to traineeships.
-  Apprenticeships are not a possible destination as there is no dual system.</t>
  </si>
  <si>
    <t>Participants who remain more than 12m in the YG are now included in stocks and exits</t>
  </si>
  <si>
    <t>Mr. Peter Michael Schumacher</t>
  </si>
  <si>
    <t xml:space="preserve"> - Young people in an apprenticeship are recorded as being in education when the apprenticeship is paid with an education grant or in employment when the apprenticeship is paid by the workplace.
- Situation treaineeship cannot be monitored.
-  Inactivity covers the following situations: sickness (sickness benefit), maternity leave (maternity leave benefit), early retirement (for e.g. handicapped), emigration, death.</t>
  </si>
  <si>
    <t xml:space="preserve">PES: Young people aged 15-29 registered with the PES as unemployed 
EPAS/PEPAS: Young people aged 15-29 registered in the PES apprenticeship programme 
</t>
  </si>
  <si>
    <t xml:space="preserve">PES (DYPA): As of November 2018, the Greek YG was expanded to also cover young people aged under 25 to 29. Accordingly, data for the 25-29 age-group were provided in 2019 for the first time.
Apprenticeship programmes (EPAS/PEPAS): 
 - Up to reference year 2019, EPAS stock figures were estimated.
 - In 2020, due to COVID-19 restrictions on-the-job training at EPAS Apprenticeship Schools was suspended from November 2020 to May 2021.   
- PEPAS apprenticeships included as of ref year 2022 (new programme)
- EPAS apply the dual system (on - the - job training in the morning combined with theoretical and laboratory courses in the evening) for young persons aged 15 - 29, while PEPAS apply the block system (6 months education during the low season and 6 months apprenticeship in 4* and 5* hotels during the high season), focusing on the sectors of tourism and hospitality, for persons aged 18+. The EPAS data refer to first-year students aged 15-29 and the PEPAS data refer to first-year students aged 15 - 29.    
   </t>
  </si>
  <si>
    <t>DYPA: 
 - Re-registrations are calculated as separate entrants. However, people that exit to education or training that doesn't result to de-registration, despite being calculated es exits, they are not calculated as re-entrants when the training/education programs end.
 - "Did not take up an offer" means that previous exit destination is either negative or unknown. 
-"Took up an offer" means that previous exit destination was positive.
 - Previous experience data for age cohort 25-29 are available only for persons that have been recorded before as entrants (and exits), from 2014 until 2018, as in age cohort 15-24, or in the age cohort 25-29 from 2019 forward. All the rest have been stated as with no previous experience ("None")
EPAS and PEPAS:
-Entry occurs when submitting the appllication for the apprenticeship to the EPAS/PEPAS registry (PLATONAS). Applications were submitted from 17 June until 17 September for EPAS and from 17 July until 27 October for PEPAS. 
-EPAS' lessons started on 23st September 2024 and PEPAS' lessons started on 1st November 2024. 
-Persons whose applications were not accepted or withdrawn are not regarded as entrants. 
-Breakdown by previous YG experience is not available. Status on entry is not available.
-Total number of EPAS students=3,314. Total number of PEPAS students=23</t>
  </si>
  <si>
    <t xml:space="preserve">DYPA:
- Stock data may include participants that at the same time participate in not subsidised training/education in case that the training/education is not reported to the PES (persons not included in exits).  
EPAS and PEPAS:
- Stock figures were calculated as described in the Methodological Manual (monthly stocks calculated on the 20th of each month).
</t>
  </si>
  <si>
    <t xml:space="preserve">Exits refer EITHER to ANY de-registration from PES Register (i.e. with or without receiving an actual YG Offer) OR to participation in a training or education programme -if of course reported to the PES- that doesn't lead to de-registration [whichever comes first]. The latter exits are not included in entrants after the completion of the programme (see also ENTRANTS COMMENTS) 
- Exit to unemployment is not possible as exits refer to deregistration from PES registry or start up of training/education (when reported to the PES). 
-Exits to apprenticeship (outside the EPAS framework) may be recorded as exits to unknown destination (not specifically recorded exit reason). Some participants exiting to apprenticeship may be to EPAS/PEPAS apprenticeships but this is not known. Thus, these are not reported under subsidised apprenticeships and may be double-counted (under both DYPA and PES data). 
 - Exits to traineeship not reported to the PES are not included. Thus, exits to traineeship destinations may be underestimated. 
 - Exits to education refer either to the education programme offered by DYPA (see Characteristics of offers file) or to education reported to the PES. The latter may be underestimated. 
 - Exits to not subsidised self employment are understated due to not reporting it to the PES. Many young people starting up new businesses simply do not renew their unemployment card, thus are included in exits to unknown destination.
 - Exits to inactivity include deregistrations due to unavailabity for work (temporarily or permanently according to legislation) such as Army enlistement, Maternity, Illness, Imprisonement, Travelling abroad for more than 20 days a year, etc.
 - Unknown destination refers to deregistrations due to no renewal or no particular reasons recorded or to sanctions (legislation changes in 2022 for enforced de-registraion and no re-registration rights for a certain time period). 
EPAS and PEPAS:
- All exits occured on the day the lessons started.
</t>
  </si>
  <si>
    <t xml:space="preserve"> - Negative exits are not possible by definition, participants remain registered in the YG indefinitely. After participating in an offer, they are automatically re-registered.  The only exception are participants turning 30 years old (+4 months), they are de-registered from the system through a manual procedure. This has been implemented from 2021 data and such cases are recorded as unknown exits. 
 - Voluntary de-registrations counted as exits (unknown destination) only in 2016 and 2017 (unlikely to create comparability issues due to small number, &lt;1% of exits). Voluntary de-registrations have been provided again in 2021.
- In 2014 data some activities that are part of preparatory phase were counted as offers (exits).
 - Age limit raised to under 30 in 2015 (previously, YG was only available to people 25-29 if they had more than 33% of disability).
- Data for reference year 2016 includes 34,537 participants that have been retrospectively registered, causing a sudden increase of flows (entrants) and stocks.
 - Exits to unsubsidised employment offers recorded only from 2016. Previously, the number would have been insignificant due to automatic subsidies (reduced social contributions) for employers hiring young people, which finished mid-June 2016.
 - Data for 2018 are not fully comparable with earlier years due to increased coverage of providers of YG offers which mean that more offers are recorded, stocks reduced and flows both in and out of the YG significantly increased. Revised data for earlier years (at least 2017) will be provided in future.
- Inactivity in follow-up data is available from 2018 onwards.
- Up until 2018, follow-up data did not capture transitions positive situations.
- There appears to be a discrepancy between flows and stocks data, with exits outnumbering entrants whilst stocks gradually increasing. It is possible this is due to double counting of exits that has partially been addressed in 2024, by adjusting the observation for age to date of last entry/re-entry. This would possibly remove double counging of exits of those turning 30 and who had previously had a positive exit before.
</t>
  </si>
  <si>
    <t>Stocks may be overstated as, in some cases, there may be delay in registering the exit of a participant into an offer.</t>
  </si>
  <si>
    <t>Exits to negative destinations (unemployment or inactivity) are not possible; young people stay registered regardless of their availability or not for taking-up an offer. The only exceptions are voluntary de-registrations (neglibile, &lt;1% exits) and automatic de-registrations of participants turning 30 and who have been in the register for more than 4 months (both recorded as unknown destination).
Exits to non-subsidised offers are only monitored for employment offers.</t>
  </si>
  <si>
    <t xml:space="preserve">Follow-up data cover employment, unemployment and inactivity , from accesing public employment information about jobseekers. Information on situation inactivity  is available from 2018 onwards.  </t>
  </si>
  <si>
    <t>Up until 2018, positive situations of education, apprenticeship and traineeship were recorded only when they refer to the exit destination (i.e participants are still in the offer they exited to).</t>
  </si>
  <si>
    <t>In 2024, a methodological change to record the age groups in line with the YG methodological framework, i.e. upon entry or re-entry (previously, age group was recorded based on the first entry only).
This has had an impactin : 
- Drop in the number of exits due to automatic de-registrations from the YG due to reaching 30 years old in the data. 
- Fall in previous "double-counting" exits for participants who had taken up an exit (counted as positive exit) and then were de-registered after turning 30 (and counted again as exits to unknown).
In 2024, it was identified that there are a number of exits to employment (and any associated re-entry) that have not been included in the data. A revision to address this could not be implemented this year and it is planned to revise the data next year. An increase in flows is to be expected (but no changes in stocks).</t>
  </si>
  <si>
    <t>KEHA Centre</t>
  </si>
  <si>
    <t>Riitta Kinnunen, Linda Typpö</t>
  </si>
  <si>
    <t>riitta.kinnunen@ely-keskus.fi, linda.typpo@ely-keskus.fi</t>
  </si>
  <si>
    <t xml:space="preserve"> - Inactivity cannot be monitored (recorded under unknown).
 - Apprenticeships and some traineeships are included under education.
 - Traineeships are monitored using the PES database.
 - Participants who took up an education offer are assumed to have remained in education unless they appear in either the employment or unemployment register.</t>
  </si>
  <si>
    <t xml:space="preserve">Young people aged 15-29 registered in the YG scheme. Not all those registered unemployed are registered in the YG.  All young people are informed about the Youth Guarantee Scheme as well as about labour market programmes provided in its framework. Young people not registered as unemployed can still register in the YG via the PES. </t>
  </si>
  <si>
    <t>For technical and methodological reasons while implementing the reinforced Youth Guarantee, participations in years 2023 and 2024 were separated. Therefore no participants could have reached 12 month stock duration in 2024.</t>
  </si>
  <si>
    <t xml:space="preserve">Fully unemployed jobseekers claimants (no part-time claimants) aged under 30 in 2024. </t>
  </si>
  <si>
    <t>Breakdown of entrants by previous YG experience is not available.</t>
  </si>
  <si>
    <t>Exit to employment: Revenue PMOD file.  Subsidised employment is identified by the particular class of PRSI paid to Revenue (class A8 and A9).  
Exit to Education: Higher Education Authority file.
Exit to Apprenticeship: Solas Apprenticeship file and PLSS files.</t>
  </si>
  <si>
    <t>Positive exits miss those in unsubsidised apprenticeships and traineeships and subsidised education. Data on exits to unsubsidised education are partial (see above in "Exits").</t>
  </si>
  <si>
    <t>Situation 6m after exit: No data on situations traineeship and inactivity.
Situation 12m after exit: No data on situations education, traineeship and inactivity and "not applicable". 
Situation 18m after exit: Not available</t>
  </si>
  <si>
    <t>Situation 6m after exit: No data on situations traineeship and inactivity.
Situation 12m after exit: No data on situations education, traineeship and inactivity.
Situation 18m after exit: Not available (will be provided during the next data collection)</t>
  </si>
  <si>
    <t>Young people aged 16-29 registered with the Employment service as unemployed or getting ready for the labour market (new status from 1stJuly, 2022) and inactive young people, aged 15-29 (not registered with Employment service), who participated in the project "JUNGTYS" ("Connections"), implemented by the Agency of Youth Affairs.
 IMPORTANT exception: from May, 2020, persons, studying at a higher education institution according to full-time study programs or according to formal vocational training programs at their own expense have a right to register with the Employment service as unemployed and get benefits (including unemployment benefits), but these unemployed are not included in this data, since they cannot participate in YG.</t>
  </si>
  <si>
    <t>As we do not have access to the educational registers, unknown exits include exits to education as well as initial apprenticeship and traineeships not offered by the PES.</t>
  </si>
  <si>
    <t>PES (SEA)</t>
  </si>
  <si>
    <t xml:space="preserve">Public Employment Service (PES) (SEA)
</t>
  </si>
  <si>
    <t xml:space="preserve"> - Entry to the YG coincides with registration as unemployed, thus by definition exits to unemployment are not possible.
-  Exits to inactivity, formal education (incl. apprenticeships) and trainneeships cannot be monitored. However, there are a few exits to unsubsidised education. These are based on self-reporting at the time of exit.
</t>
  </si>
  <si>
    <t xml:space="preserve">Young people aged 15-29 registered unemployed or participating in one of the YG programmes (SEC revision classes).        </t>
  </si>
  <si>
    <t xml:space="preserve">ALMAlta project was approved by European Social Fund Agency (ESFA) on the 2nd October 2023 in the context of the Cooperation Actions of the ESF Social Innovation +. During 2024, the project enabled the establishment of an international network of hosting organisations and the activation of specific services to NEETs, hence enabling a number of mobilities, that served as a pilot  test of the initiative. ALMA will be integrated as one of the Youth Guarantee pathways as from 2025, however, during 2024 this was not the case. Thus for this year's data collection exercise, participants who were found to be participating in the ALMA project were marked as participating in a Traineeship given that the criteria of a traineeship were fulfilled. Nonetheless, the project was not included in the Characteristics of YG offers for this year. </t>
  </si>
  <si>
    <t>The average stock is calculated as average of the last two years-end figures.</t>
  </si>
  <si>
    <t xml:space="preserve">- exits to unemployment refer to people that are deregistered for WW or social Assistance and did not start work, education, apprenticeship or traineeship. Part of them receive another benefit (WW, social assistance, disability, orphan) and can in the case of WW and social assistance be included as entrance within the other scheme (duration will be aggregated). Furthermore the exits to unemployment include registered jobseekers.
'- exits to inactivity refer to  the number of people not exiting to work or education and with no registration as jobseeker or in any income support measure. </t>
  </si>
  <si>
    <t xml:space="preserve">PES: anna.pamerska@mrpips.gov.pl
</t>
  </si>
  <si>
    <t xml:space="preserve"> - PES: (Poviat labour offices) Local PES units
 - Regional PES: Regional Labour Offices (as authorities responsible for selection of entities developing activation projects) - No data for 2024.
 - BGK: data cover the loan programme "First business - Start-up support".</t>
  </si>
  <si>
    <t>PES: 
- Exit correspond to end of unemployment spell, and thus exits to unemployment are not possible. 
 - Exits to one type of apprenticeship offer are recorded as traineeships. 
- Exits to inactivity include the following situations: death, persons thet were granted with disability pension, persons with incapacity for work certification, persons the acquired the rights to rehabilitation benefit, maternity allowance or care allowance. 
 - Regional PES (not provided for 2024): It is possible to identify participants looking for employment, but not those who are registered unemployed. 
 - BGK: By definition, all exits are to subsidised employment.</t>
  </si>
  <si>
    <t xml:space="preserve"> - PES: In each case the reason of an exit is determined based on: the client's declaration (taking up work, education) or the decision of a local labor office's clerk (e.g. referral to ALMP, not making to the appointment at agreed time). The reason of an exit is put in the local database. The data concerning exits are based on these informations.
 - Regional PES (not provided for 2024) :The source used to compile data on exits by destinations are reports generated from SL2014 system
 - BGK: Data bases on financial financial intermediary's reports. The financial intermediaries use polish database of economic activities - prod.ceidg.gov.pl</t>
  </si>
  <si>
    <t xml:space="preserve"> - PES: To the unknown exits we qualify exits that cannot be included in the employment, ALMP or negative exits. For example as unknown exits are considered such events: removal from the register of the unemployed (for no specified reason), not appearing in the local labor office at agreed time and not informing the office within 7 days about justified reason of such absence (e.g. going abroad, signing a contract for specific work, taking up an education, not looking for a job anymore because of family reasons, etc.). 
 - Regional PES (not provided for 2024) There is no risk of missing positive outcomes in the unknown category. Each beneficiary is obliged to mark the status of each participant upon leaving the project. There are many option to choose like: education or training, work / self-employment, obtained qualifications, acquired competence. It means that each person has their stauts checked upon leaving the project. That is why there is no unknown destinations in the extits. 
 - BGK: There is no risk of missing positive outcomes in the unknown category. All types of exits can be fully recorded.</t>
  </si>
  <si>
    <t xml:space="preserve"> - Regional PES (not provided for 2024): Not available. Unfortunately, we are not able to provide follow-up data despite our attempts. The study of long-term indicators does not cover issues for the purposes of the report. Thus, in the following years, we will not provide follow-up data as well as it is not required by the ESF regulation and its monitoring rules.
</t>
  </si>
  <si>
    <t xml:space="preserve"> - PES: Each of the 340 local labor offices can receive an information from the Social Insurance Institutions regarding status (employed/unemployed) of persons that were their clients. Then the data are calculated based on the reasons of exits. 
 - Regional PES: N/a (not available for 2024)
 - BGK: Monthly and quarterly reports are main sources used to compile follow-up data by subsiquent situation.</t>
  </si>
  <si>
    <t xml:space="preserve"> - PES: Unknown exits include all exits that cannot be included in the employment, ALMP or negative exits. For example as unknown exits are considered such events: removal from the register of the unemployed (for no specified reason), not appearing in the local labor office at agreed time and not informing the office within 7 days about justified reason of such absence (e.g. going abroad, signing a contract for specific work, taking up an education, not looking for a job anymore because of family reasons, etc.).
 - Regional PES: N/a (not available for 2024)
 - BGK: There is no risk of missing positive outcomes in the unknown category. All types of exits can be fully recorded.</t>
  </si>
  <si>
    <t>Data for RLO cannot be delivered for 2024. In previous years this data was gathered by the Polish Managing Authority for the Operational Programme Knowledge, Education, Development (Ministry of Funds and Regional Development). This programme has ended and now the direct support for young people is implemented exclusively under 16 Regional Programmes in Poland. We sent the request for data for 2024 to 16 regional offices in Poland. Due to problems with data collection by the regional authorities the data we have received is inconsistent and incomplete, so we cannot merge it. Therefore the data will not be transferred.
There is a significant increase in BGk data due to the merger of the program granting loans for setting up sole proprietorships with the European Social Fund in 2024.</t>
  </si>
  <si>
    <t>The Youth Guarantee information is based on records in the PES employment management information system (SIGAE) and more than 95% are register as unemployed. However, in order to process the information in accordance with the methodology defined for the YG, the data processed is stored in a database dedicated to YG, enriched with Social Security data with a view to updating unknown exits registered in PES system and follow up data, with employment data from Social Security.
In the 2024 data collection, 2020-23 data were revised to use a correct date of birth of participants (entrants, stocks), and exits were corrected as well as exits registered in the database in 2024 were identified that referred to previous years (offer start date). The information was updated based on this new data.</t>
  </si>
  <si>
    <t>The National Agency for Employment (ANOFM)</t>
  </si>
  <si>
    <t>Alina Preda</t>
  </si>
  <si>
    <t>alina.preda@mmuncii.gov.ro</t>
  </si>
  <si>
    <t xml:space="preserve"> - Exit from the YG coincides with the end of the unemployment spell, thus, exits to unemployment are reported as zero.
 - Exits to inactivity record individuals having work incapacity or persons who have acquired a disability status
 - Breakdowns by sex and age for exits to apprenticeships are not known. 
 - Breakdown by age for exits to traineeships and subsidised employment is not known.
 - Exits to subsidised education are not known.  
- Timely exits to subsidised employment are not known</t>
  </si>
  <si>
    <t>(same as T)</t>
  </si>
  <si>
    <t>In the case of extracting follow-up data, the situation is similar to the one described above in the "Exits" category. We face the same type of risk of young people needing to return to PES services or of not having information about the inactivity situation in which these people might find themselves.
Note that in the case of "follow-up T-6 months",  data are delivered with a delay as they are received from the ANAF (the National Agency for Fiscal Administration) the reports  on the contributions according to the declaration on the obligations to pay the social contributions, the income tax and the nominal record of the insured persons (the deadline for uploading this information to ANAF on contributions is 25th of each month).</t>
  </si>
  <si>
    <t>Jana Rožac</t>
  </si>
  <si>
    <t>jana.rozac@ess.gov.si</t>
  </si>
  <si>
    <t>Actiris: only the first entry/re-entry in the reference year are recorded. Thus, an entrant may have more than one exit.</t>
  </si>
  <si>
    <t xml:space="preserve">VDAB:  
- Exits to unemployment  correspond to jobseekers who did not respect their obligations as jobseeker. 
 - It is not possible to identify whether exits to apprenticeships or employment are subsidised or not. 
 - VDAB data miss exits to educational programmes and internships not recognised by VDAB.
Actiris: 
- Exits to unemployment are blank. De-registration due to failure to comply with jobseeker obligations is recorded as unknown. However, sanctions do not necessarily lead to de-registration, and thus, participants may remain in the YG and not be counted as an exit.
- It is not possible to identify whether exits to apprenticeships or employment are subsidised or not. 
- Data on exits to subsidised education is an estimate (75% of exits to education).
Le Forem: 
- Exits to unemployment correspond to jobseekers who did not respect their obligations as jobseeker.
 - It is not possible to identify whether exits to apprenticeships or employment are subsidised or not. 
 - Prior to 2017, Le Forem recorded exits to unknown destinations as exits to inactivity. From 2017 onwards inactivity and unknown are correctly separated.
</t>
  </si>
  <si>
    <t xml:space="preserve">VDAB: same methodology as for the data on exits.
Actiris:  administrative datasources, mainly from the different PES datawarehouses
Le Forem(same as in exits):  Official job data (Dimona),  training data (Forem data warehouse) + unemployment database (Stat92, shared database amongst the four regional PES). 
</t>
  </si>
  <si>
    <t xml:space="preserve">VDAB: Employment abroad is only recorded in the dossier of the job seeker when he/she directly reports this information to VDAB. Employment of less than 28 days is not considered as an exit towards employment. The start of a an education or internship that is not recognized by VDAB is not recorded and can thus not be counted.
Actiris: There is the risk of missing positive outcomes. For example: Employment in international institutions is not possible to detect. Returns to full-time educaiton is also not systematically recorded.
Le Forem (same as in exits):unemployment database Stat92 is not fully updated as time goes by . A various amount of people become de-registered for unknown reasons. 
</t>
  </si>
  <si>
    <t>Forem amended entrants to also include re-entrants (not only first entry in the year)- revised data for 2018-2023 were also provided</t>
  </si>
  <si>
    <t>Emma Héard</t>
  </si>
  <si>
    <t>emma.heard@travail.gouv.fr</t>
  </si>
  <si>
    <t>Participants who remain in the YG preparatory phase for more than 12 months are included in exits and stocks as of reference year 2024.</t>
  </si>
  <si>
    <t xml:space="preserve">Admission to the reinforced Youth Guarantee scheme launched in early 2024 for young people aged 15-29. For technical and methodological reasons while implementing the reinforced Youth Guarantee, participations in years 2023 and 2024 were separated. Therefore those registered prior to 2023 are not included in stocks and exits.
</t>
  </si>
  <si>
    <t>Age is defined as the age at the commencement date of the JA or JB (unemployment benefit) claim. We capped this at 36 for the older claims, but there would not be many of these. All new claims must be under 30. Most of our ages are under 30.
Where a small cell exists (n&lt;5) the numbers have been deleted.</t>
  </si>
  <si>
    <t xml:space="preserve">Exits are identified as existing in one month and have disappeared from the file the following month. 
- Exits to unsubsidised apprenticeships and traineeships cannot be monitored. Exits to subsidised offers (apprenticeships and traineeships) are counted under subsidised apprenticeships.
- Exits to subsidised education cannot be monitored. Exits to unsubsidised education are based on the higher education register. Data are partially available as the file for the academic year 2024-2025 is not available (to be confirmed) and data miss lower educational level courses.
 - Exits to inactivity cannot be monitored.
                                           </t>
  </si>
  <si>
    <t>All YG providers including public and private providers who work in partnership with the PES. 
Data from regional interventions are not fully avalilable.</t>
  </si>
  <si>
    <t>Young people 15-29 registered in the YG Scheme or registered in the GOL Programme (launched in 2022).  In the latter case, young people must not have been employed in the month preceding registration.</t>
  </si>
  <si>
    <t xml:space="preserve">Re-entries are counted relative to NEETs who:
1) were "Exit" in one of the previous years 2021-2022-2023 (YG-Scheme) and 2022-2023 (GOL Programme) and whose exit did not result in removal and subsequent re-enrollment in the YG (or GOL) registry
2) on January 1, 2024 or during the reporting year, returned to NEET status (unemployed) and were still enrolled in the same registration cycle that led to the previous successful exit
3)On the date of re-entry they were aged below 30
Each registration has a predefinite duration. It does not end with an exit to employment or active policy measure and can therefore remain valid well beyond participation to a measure. For instance, the registration of an unemployed participating to a training measure remain "open" and the same unemployed can be offered with other measures within a single "registration cycle" until its validity expires. When unemployed participate to more than one measure in the same year, we count only one exit. 
Reply: (i-ii) Duration is based on socio-economic characteristics, so it varies among individuals. (iii) at the end of the registration cycle  the destination of those with a valid "declaration of immediate availability to work" (i.e. registration to PES) is "Unemployment", for the others the destination is "Unknown".
In June 2021,  the records of young NEETs that have been registered with the regional PES offices for more than 24 months without being in contact with the PES were cancelled. This was a one-off data processing and was not repeated again.
Up until mid-2022, young unemployed registered with the PES but who had not registered with the YG scheme could still receive offers or benefit from national or regional measures but were not included in the YG monitoring data.
From 2022, data also cover young people registered in the GOL programme. The launch of the GOL Programme under the NRRP, together with the gradual phasing out of the YEI fund, resulted in the fact that the indicator framework of the Youth Guarantee, as outlined through the YEI flow (Youth Guarantee Programme), is no longer able to provide an accurate picture of the overall NEET population reached by ALMPs.  It therefore became necessary to supplement the flow of young people enrolled in the Youth Guarantee with the flow of young people taken in charge by the PES and included in the GOL Programme. The monitoring system remained the same so there is no break in series.
</t>
  </si>
  <si>
    <t>1) NEETs 15-29 registered in the YG Programme (newly registered and re-entering, as described in Q5)
2) Young people registered in the GOL Programme (newly registered and re-entering, as described in Q5) not employed in the month before registration.
The YG-Scheme and the GOL Programme share a similar enrolment procedure that ends with the taking on charge of the young by PESs and the contextual subscription of the individual activation plan (Service Pact).
Note: for each individual, the age is set at the time of registration (or on the date of re-entry, as described in Q5) and is not updated to the reference year of the data.</t>
  </si>
  <si>
    <t xml:space="preserve"> - Inactive people, self-employed and exits to non-subsidised education are recorded under unknown.
 - The data on the employment incentive for the years 2022-2023-2024 are left blank waiting for the full availability of the data, which needs to be supplemented in the database.
 - There are no exits to subsidised apprentices as the corresponding ALMP YG measures have not been significantly implemented.
</t>
  </si>
  <si>
    <t>YGSS: Gethe Laus</t>
  </si>
  <si>
    <t>gethe.laus@sotsiaalkindlustusamet.ee</t>
  </si>
  <si>
    <t>Youth Guarantee Support System</t>
  </si>
  <si>
    <t>Young people aged 15-29 registered in the YGSS programme</t>
  </si>
  <si>
    <t>YGSS: 
- Stock data are estimated based on entrants and exits data.
- Breakdown of stocks by duration are estimated based on exits data by duration.
- Duration of stocks refers to 0-4 months, 5-6 months, 7-12 months and 13+ months.</t>
  </si>
  <si>
    <t>YGSS: 
- Timely exits refer to those less than 5 months (and not less than 4 months)
- Information on destination not available.</t>
  </si>
  <si>
    <t>YGSS: N/a</t>
  </si>
  <si>
    <t>None?</t>
  </si>
  <si>
    <t>N/a</t>
  </si>
  <si>
    <t>Notes: 
-  Stock data are estimated based on entrants and exits data.
- Breakdown of stocks by duration are estimated based on exits data by duration.
- Duration of stocks refers to 0-4 months, 5-6 months, 7-12 months and 13+ months.</t>
  </si>
  <si>
    <t>Breakdown by age does not match totals as there are numbers of individuals not recorded in breakdowns, under "other" age group (assumed unknown).
Notes: 
-  Stock data are estimated based on entrants and exits data.
- Breakdown of stocks by duration are estimated based on exits data by duration.
- Duration of stocks refers to 0-4 months, 5-6 months, 7-12 months and 13+ months.</t>
  </si>
  <si>
    <t>YGSS (from 2024): Limited data available to now regarding destinations and no data on monthly stocks (estimated).
The YGSS is a support service implemented by local governments and supported by the Ministry of Economic Affairs. It focuses on young people in vulnerable situations and is funded by the ESF+.
The durations vary slightly compared to the YG monitoring framework.
 It is possible some are registered with the PES so there is a degree of overlap with the two datasets (i.e. double counting).
Initiative this initiative, the aim is to reach 5,000 vulnerable young people during the 2024–2027 period.
Age breakdown does not always match total (category "other" provided in raw data has not been included in breakdowns but has been included in the totals).</t>
  </si>
  <si>
    <t>Notes: 
- Age/gender breakdown does not match due to category"other" under age not been included in the breakdowns (i.e. unknown age?)
- Timely exits refers to exits within 5 months.</t>
  </si>
  <si>
    <r>
      <t>YGSS: 
- Data on entrants who are registered unemployed are incomplete (available for 6 of 21 regions in 2026). It may be available at the end of the period (i.e. 2027).
- No information on previous experience.</t>
    </r>
    <r>
      <rPr>
        <sz val="11"/>
        <color rgb="FFFF0000"/>
        <rFont val="Calibri"/>
        <family val="2"/>
        <scheme val="minor"/>
      </rPr>
      <t xml:space="preserve">
ESF+ monitoring uses unique participation record per individual, to technically, re-entries are not recorded.</t>
    </r>
  </si>
  <si>
    <t>New initiative from 2023. Data available only for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</si>
</sst>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_(* \(#,##0\);_(* &quot;-&quot;_);_(@_)"/>
    <numFmt numFmtId="165" formatCode="_(* #,##0.00_);_(* \(#,##0.00\);_(* &quot;-&quot;??_);_(@_)"/>
    <numFmt numFmtId="166" formatCode="_-* #,##0_-;\-* #,##0_-;_-* &quot;-&quot;??_-;_-@_-"/>
    <numFmt numFmtId="167" formatCode="0.0%"/>
    <numFmt numFmtId="168" formatCode=";;;"/>
    <numFmt numFmtId="169" formatCode="#,##0_ ;\-#,##0\ "/>
  </numFmts>
  <fonts count="39" x14ac:knownFonts="1">
    <font>
      <sz val="11"/>
      <color theme="1"/>
      <name val="Calibri"/>
      <family val="2"/>
      <scheme val="minor"/>
    </font>
    <font>
      <sz val="11"/>
      <color theme="1"/>
      <name val="Calibri"/>
      <family val="2"/>
      <scheme val="minor"/>
    </font>
    <font>
      <b/>
      <sz val="11"/>
      <color theme="3"/>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color theme="4" tint="-0.249977111117893"/>
      <name val="Calibri"/>
      <family val="2"/>
      <scheme val="minor"/>
    </font>
    <font>
      <b/>
      <sz val="14"/>
      <color theme="1"/>
      <name val="Calibri"/>
      <family val="2"/>
      <scheme val="minor"/>
    </font>
    <font>
      <b/>
      <sz val="11"/>
      <color theme="4" tint="0.79998168889431442"/>
      <name val="Calibri"/>
      <family val="2"/>
      <scheme val="minor"/>
    </font>
    <font>
      <b/>
      <u/>
      <sz val="11"/>
      <color theme="1"/>
      <name val="Calibri"/>
      <family val="2"/>
      <scheme val="minor"/>
    </font>
    <font>
      <u/>
      <sz val="11"/>
      <color theme="1"/>
      <name val="Calibri"/>
      <family val="2"/>
      <scheme val="minor"/>
    </font>
    <font>
      <sz val="11"/>
      <color theme="5"/>
      <name val="Calibri"/>
      <family val="2"/>
      <charset val="238"/>
      <scheme val="minor"/>
    </font>
    <font>
      <b/>
      <sz val="11"/>
      <color theme="0"/>
      <name val="Calibri"/>
      <family val="2"/>
    </font>
    <font>
      <sz val="11"/>
      <color theme="5" tint="-0.249977111117893"/>
      <name val="Calibri"/>
      <family val="2"/>
      <scheme val="minor"/>
    </font>
    <font>
      <b/>
      <sz val="14"/>
      <color theme="1"/>
      <name val="Calibri"/>
      <family val="2"/>
    </font>
    <font>
      <b/>
      <sz val="12.75"/>
      <color theme="1"/>
      <name val="Calibri"/>
      <family val="2"/>
    </font>
    <font>
      <b/>
      <sz val="10"/>
      <color theme="0"/>
      <name val="Calibri"/>
      <family val="2"/>
    </font>
    <font>
      <b/>
      <u/>
      <sz val="11"/>
      <color theme="1"/>
      <name val="Calibri"/>
      <family val="2"/>
    </font>
    <font>
      <sz val="11"/>
      <color theme="1"/>
      <name val="Calibri"/>
      <family val="2"/>
    </font>
    <font>
      <b/>
      <sz val="11"/>
      <color theme="1"/>
      <name val="Calibri"/>
      <family val="2"/>
    </font>
    <font>
      <sz val="11"/>
      <color theme="1"/>
      <name val="Arial"/>
      <family val="2"/>
    </font>
    <font>
      <sz val="7"/>
      <color theme="1"/>
      <name val="Times New Roman"/>
      <family val="1"/>
    </font>
    <font>
      <sz val="11"/>
      <color rgb="FF9C0006"/>
      <name val="Calibri"/>
      <family val="2"/>
      <scheme val="minor"/>
    </font>
    <font>
      <b/>
      <sz val="12"/>
      <color theme="1"/>
      <name val="Calibri"/>
      <family val="2"/>
      <scheme val="minor"/>
    </font>
    <font>
      <b/>
      <sz val="11"/>
      <color rgb="FFFF0000"/>
      <name val="Calibri"/>
      <family val="2"/>
      <scheme val="minor"/>
    </font>
    <font>
      <sz val="11"/>
      <color theme="8" tint="-0.499984740745262"/>
      <name val="Calibri"/>
      <family val="2"/>
      <scheme val="minor"/>
    </font>
    <font>
      <b/>
      <sz val="11"/>
      <color theme="8" tint="-0.499984740745262"/>
      <name val="Calibri"/>
      <family val="2"/>
      <scheme val="minor"/>
    </font>
    <font>
      <b/>
      <sz val="14"/>
      <color theme="8" tint="-0.499984740745262"/>
      <name val="Calibri"/>
      <family val="2"/>
      <scheme val="minor"/>
    </font>
    <font>
      <sz val="14"/>
      <color theme="8" tint="-0.499984740745262"/>
      <name val="Calibri"/>
      <family val="2"/>
      <scheme val="minor"/>
    </font>
    <font>
      <b/>
      <sz val="14"/>
      <color rgb="FF9C0006"/>
      <name val="Calibri"/>
      <family val="2"/>
      <scheme val="minor"/>
    </font>
    <font>
      <sz val="14"/>
      <color theme="1"/>
      <name val="Calibri"/>
      <family val="2"/>
      <scheme val="minor"/>
    </font>
    <font>
      <b/>
      <sz val="14"/>
      <color rgb="FFFF0000"/>
      <name val="Calibri"/>
      <family val="2"/>
    </font>
    <font>
      <u/>
      <sz val="11"/>
      <color theme="10"/>
      <name val="Calibri"/>
      <family val="2"/>
      <scheme val="minor"/>
    </font>
    <font>
      <b/>
      <sz val="11"/>
      <color rgb="FF9C0006"/>
      <name val="Calibri"/>
      <family val="2"/>
      <scheme val="minor"/>
    </font>
    <font>
      <i/>
      <sz val="11"/>
      <color theme="0"/>
      <name val="Calibri"/>
      <family val="2"/>
      <scheme val="minor"/>
    </font>
    <font>
      <b/>
      <sz val="11"/>
      <name val="Calibri"/>
      <family val="2"/>
      <scheme val="minor"/>
    </font>
    <font>
      <b/>
      <u/>
      <sz val="11"/>
      <color theme="10"/>
      <name val="Calibri"/>
      <family val="2"/>
      <scheme val="minor"/>
    </font>
  </fonts>
  <fills count="18">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8" tint="0.39997558519241921"/>
        <bgColor indexed="65"/>
      </patternFill>
    </fill>
    <fill>
      <patternFill patternType="solid">
        <fgColor theme="4" tint="0.79998168889431442"/>
        <bgColor indexed="64"/>
      </patternFill>
    </fill>
    <fill>
      <patternFill patternType="solid">
        <fgColor rgb="FFFFC000"/>
        <bgColor indexed="64"/>
      </patternFill>
    </fill>
    <fill>
      <patternFill patternType="solid">
        <fgColor theme="8" tint="0.59999389629810485"/>
        <bgColor indexed="64"/>
      </patternFill>
    </fill>
    <fill>
      <patternFill patternType="solid">
        <fgColor theme="4"/>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rgb="FFFFC7CE"/>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F8EBC8"/>
        <bgColor indexed="64"/>
      </patternFill>
    </fill>
    <fill>
      <patternFill patternType="solid">
        <fgColor rgb="FFDAEEF3"/>
        <bgColor indexed="64"/>
      </patternFill>
    </fill>
    <fill>
      <patternFill patternType="solid">
        <fgColor rgb="FFFFFF00"/>
        <bgColor indexed="64"/>
      </patternFill>
    </fill>
  </fills>
  <borders count="112">
    <border>
      <left/>
      <right/>
      <top/>
      <bottom/>
      <diagonal/>
    </border>
    <border>
      <left style="thick">
        <color theme="4"/>
      </left>
      <right/>
      <top style="thick">
        <color theme="4"/>
      </top>
      <bottom/>
      <diagonal/>
    </border>
    <border>
      <left/>
      <right/>
      <top style="thick">
        <color theme="4"/>
      </top>
      <bottom/>
      <diagonal/>
    </border>
    <border>
      <left/>
      <right style="thick">
        <color theme="4"/>
      </right>
      <top style="thick">
        <color theme="4"/>
      </top>
      <bottom/>
      <diagonal/>
    </border>
    <border>
      <left style="thick">
        <color theme="4"/>
      </left>
      <right/>
      <top/>
      <bottom/>
      <diagonal/>
    </border>
    <border>
      <left/>
      <right style="thick">
        <color theme="4"/>
      </right>
      <top/>
      <bottom/>
      <diagonal/>
    </border>
    <border>
      <left style="thick">
        <color theme="4"/>
      </left>
      <right/>
      <top/>
      <bottom style="thick">
        <color theme="4"/>
      </bottom>
      <diagonal/>
    </border>
    <border>
      <left/>
      <right style="thick">
        <color theme="4"/>
      </right>
      <top/>
      <bottom style="thick">
        <color theme="4"/>
      </bottom>
      <diagonal/>
    </border>
    <border>
      <left/>
      <right style="thick">
        <color theme="0"/>
      </right>
      <top style="thick">
        <color theme="4"/>
      </top>
      <bottom/>
      <diagonal/>
    </border>
    <border>
      <left/>
      <right style="thick">
        <color theme="0"/>
      </right>
      <top/>
      <bottom/>
      <diagonal/>
    </border>
    <border>
      <left/>
      <right style="thick">
        <color theme="0"/>
      </right>
      <top/>
      <bottom style="thick">
        <color theme="4"/>
      </bottom>
      <diagonal/>
    </border>
    <border>
      <left style="thick">
        <color theme="0"/>
      </left>
      <right/>
      <top style="thick">
        <color theme="4"/>
      </top>
      <bottom/>
      <diagonal/>
    </border>
    <border>
      <left/>
      <right style="thin">
        <color theme="0"/>
      </right>
      <top style="thin">
        <color theme="0"/>
      </top>
      <bottom/>
      <diagonal/>
    </border>
    <border>
      <left style="thin">
        <color theme="0"/>
      </left>
      <right style="thin">
        <color theme="0"/>
      </right>
      <top style="thin">
        <color theme="0"/>
      </top>
      <bottom/>
      <diagonal/>
    </border>
    <border>
      <left style="thick">
        <color theme="0"/>
      </left>
      <right style="thin">
        <color theme="0"/>
      </right>
      <top/>
      <bottom style="thin">
        <color theme="0"/>
      </bottom>
      <diagonal/>
    </border>
    <border>
      <left style="thick">
        <color theme="0"/>
      </left>
      <right style="thin">
        <color theme="0"/>
      </right>
      <top style="thin">
        <color theme="0"/>
      </top>
      <bottom/>
      <diagonal/>
    </border>
    <border>
      <left style="thin">
        <color theme="0"/>
      </left>
      <right style="thick">
        <color theme="0"/>
      </right>
      <top style="thin">
        <color theme="0"/>
      </top>
      <bottom/>
      <diagonal/>
    </border>
    <border>
      <left style="thick">
        <color theme="0"/>
      </left>
      <right style="thin">
        <color theme="0"/>
      </right>
      <top style="thick">
        <color theme="4"/>
      </top>
      <bottom style="thin">
        <color theme="0"/>
      </bottom>
      <diagonal/>
    </border>
    <border>
      <left style="thin">
        <color theme="0"/>
      </left>
      <right style="thin">
        <color theme="0"/>
      </right>
      <top style="thick">
        <color theme="4"/>
      </top>
      <bottom style="thin">
        <color theme="0"/>
      </bottom>
      <diagonal/>
    </border>
    <border>
      <left style="thin">
        <color theme="0"/>
      </left>
      <right style="thick">
        <color theme="4"/>
      </right>
      <top style="thick">
        <color theme="4"/>
      </top>
      <bottom style="thin">
        <color theme="0"/>
      </bottom>
      <diagonal/>
    </border>
    <border>
      <left style="thin">
        <color theme="0"/>
      </left>
      <right style="thick">
        <color theme="4"/>
      </right>
      <top style="thin">
        <color theme="0"/>
      </top>
      <bottom/>
      <diagonal/>
    </border>
    <border>
      <left/>
      <right style="thin">
        <color theme="0"/>
      </right>
      <top style="thick">
        <color theme="4"/>
      </top>
      <bottom style="thin">
        <color theme="0"/>
      </bottom>
      <diagonal/>
    </border>
    <border>
      <left style="thick">
        <color theme="0"/>
      </left>
      <right style="thin">
        <color theme="4"/>
      </right>
      <top/>
      <bottom/>
      <diagonal/>
    </border>
    <border>
      <left style="thin">
        <color theme="4"/>
      </left>
      <right style="thin">
        <color theme="4"/>
      </right>
      <top/>
      <bottom/>
      <diagonal/>
    </border>
    <border>
      <left style="thin">
        <color theme="4"/>
      </left>
      <right style="thick">
        <color theme="4"/>
      </right>
      <top/>
      <bottom/>
      <diagonal/>
    </border>
    <border>
      <left style="thick">
        <color theme="0"/>
      </left>
      <right style="thin">
        <color theme="4"/>
      </right>
      <top/>
      <bottom style="thick">
        <color theme="4"/>
      </bottom>
      <diagonal/>
    </border>
    <border>
      <left style="thin">
        <color theme="4"/>
      </left>
      <right style="thin">
        <color theme="4"/>
      </right>
      <top/>
      <bottom style="thick">
        <color theme="4"/>
      </bottom>
      <diagonal/>
    </border>
    <border>
      <left style="thin">
        <color theme="4"/>
      </left>
      <right style="thick">
        <color theme="4"/>
      </right>
      <top/>
      <bottom style="thick">
        <color theme="4"/>
      </bottom>
      <diagonal/>
    </border>
    <border>
      <left style="thin">
        <color theme="0"/>
      </left>
      <right style="thick">
        <color theme="0"/>
      </right>
      <top style="thick">
        <color theme="4"/>
      </top>
      <bottom style="thin">
        <color theme="0"/>
      </bottom>
      <diagonal/>
    </border>
    <border>
      <left style="thick">
        <color theme="4"/>
      </left>
      <right style="thin">
        <color theme="4"/>
      </right>
      <top/>
      <bottom/>
      <diagonal/>
    </border>
    <border>
      <left style="thick">
        <color theme="4"/>
      </left>
      <right style="thin">
        <color theme="4"/>
      </right>
      <top/>
      <bottom style="thick">
        <color theme="4"/>
      </bottom>
      <diagonal/>
    </border>
    <border>
      <left style="thin">
        <color theme="4"/>
      </left>
      <right/>
      <top/>
      <bottom/>
      <diagonal/>
    </border>
    <border>
      <left style="thin">
        <color theme="4"/>
      </left>
      <right/>
      <top/>
      <bottom style="thick">
        <color theme="4"/>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ck">
        <color theme="4"/>
      </right>
      <top/>
      <bottom/>
      <diagonal/>
    </border>
    <border>
      <left style="thick">
        <color theme="0"/>
      </left>
      <right style="thin">
        <color theme="0"/>
      </right>
      <top/>
      <bottom/>
      <diagonal/>
    </border>
    <border>
      <left style="thick">
        <color theme="0"/>
      </left>
      <right style="thin">
        <color theme="0"/>
      </right>
      <top style="thick">
        <color theme="4"/>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ck">
        <color theme="4"/>
      </top>
      <bottom style="thin">
        <color theme="0"/>
      </bottom>
      <diagonal/>
    </border>
    <border>
      <left/>
      <right/>
      <top style="thick">
        <color theme="4"/>
      </top>
      <bottom style="thin">
        <color theme="0"/>
      </bottom>
      <diagonal/>
    </border>
    <border>
      <left/>
      <right style="thick">
        <color theme="4"/>
      </right>
      <top style="thick">
        <color theme="4"/>
      </top>
      <bottom style="thin">
        <color theme="0"/>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thick">
        <color theme="0"/>
      </left>
      <right style="thick">
        <color theme="4"/>
      </right>
      <top/>
      <bottom/>
      <diagonal/>
    </border>
    <border>
      <left style="thick">
        <color theme="0"/>
      </left>
      <right/>
      <top/>
      <bottom/>
      <diagonal/>
    </border>
    <border>
      <left style="thick">
        <color theme="0"/>
      </left>
      <right style="thin">
        <color theme="0"/>
      </right>
      <top style="thin">
        <color theme="0"/>
      </top>
      <bottom style="thin">
        <color theme="0"/>
      </bottom>
      <diagonal/>
    </border>
    <border>
      <left style="medium">
        <color theme="5" tint="-0.24994659260841701"/>
      </left>
      <right style="medium">
        <color theme="5" tint="-0.24994659260841701"/>
      </right>
      <top style="medium">
        <color theme="5" tint="-0.24994659260841701"/>
      </top>
      <bottom/>
      <diagonal/>
    </border>
    <border>
      <left style="medium">
        <color theme="5" tint="-0.24994659260841701"/>
      </left>
      <right style="medium">
        <color theme="5" tint="-0.24994659260841701"/>
      </right>
      <top/>
      <bottom/>
      <diagonal/>
    </border>
    <border>
      <left style="medium">
        <color theme="5" tint="-0.24994659260841701"/>
      </left>
      <right style="medium">
        <color theme="5" tint="-0.24994659260841701"/>
      </right>
      <top/>
      <bottom style="medium">
        <color theme="5" tint="-0.24994659260841701"/>
      </bottom>
      <diagonal/>
    </border>
    <border>
      <left style="medium">
        <color theme="8" tint="-0.24994659260841701"/>
      </left>
      <right style="medium">
        <color theme="8" tint="-0.24994659260841701"/>
      </right>
      <top style="medium">
        <color theme="8" tint="-0.24994659260841701"/>
      </top>
      <bottom/>
      <diagonal/>
    </border>
    <border>
      <left style="medium">
        <color theme="8" tint="-0.24994659260841701"/>
      </left>
      <right style="medium">
        <color theme="8" tint="-0.24994659260841701"/>
      </right>
      <top/>
      <bottom/>
      <diagonal/>
    </border>
    <border>
      <left style="medium">
        <color theme="8" tint="-0.24994659260841701"/>
      </left>
      <right style="medium">
        <color theme="8" tint="-0.24994659260841701"/>
      </right>
      <top/>
      <bottom style="medium">
        <color theme="8" tint="-0.24994659260841701"/>
      </bottom>
      <diagonal/>
    </border>
    <border>
      <left/>
      <right/>
      <top/>
      <bottom style="thick">
        <color theme="4"/>
      </bottom>
      <diagonal/>
    </border>
    <border>
      <left style="thin">
        <color theme="0"/>
      </left>
      <right style="thick">
        <color theme="4"/>
      </right>
      <top/>
      <bottom style="thin">
        <color theme="0"/>
      </bottom>
      <diagonal/>
    </border>
    <border>
      <left style="thin">
        <color theme="0"/>
      </left>
      <right/>
      <top/>
      <bottom style="thin">
        <color theme="0"/>
      </bottom>
      <diagonal/>
    </border>
    <border>
      <left style="thin">
        <color theme="0"/>
      </left>
      <right style="thin">
        <color theme="0"/>
      </right>
      <top/>
      <bottom style="thin">
        <color theme="0"/>
      </bottom>
      <diagonal/>
    </border>
    <border>
      <left/>
      <right style="medium">
        <color theme="4"/>
      </right>
      <top/>
      <bottom/>
      <diagonal/>
    </border>
    <border>
      <left style="medium">
        <color theme="8" tint="-0.499984740745262"/>
      </left>
      <right/>
      <top style="medium">
        <color theme="8" tint="-0.499984740745262"/>
      </top>
      <bottom/>
      <diagonal/>
    </border>
    <border>
      <left/>
      <right/>
      <top style="medium">
        <color theme="8" tint="-0.499984740745262"/>
      </top>
      <bottom/>
      <diagonal/>
    </border>
    <border>
      <left/>
      <right style="medium">
        <color theme="8" tint="-0.499984740745262"/>
      </right>
      <top style="medium">
        <color theme="8" tint="-0.499984740745262"/>
      </top>
      <bottom/>
      <diagonal/>
    </border>
    <border>
      <left style="medium">
        <color theme="8" tint="-0.499984740745262"/>
      </left>
      <right/>
      <top/>
      <bottom/>
      <diagonal/>
    </border>
    <border>
      <left/>
      <right style="medium">
        <color theme="8" tint="-0.499984740745262"/>
      </right>
      <top/>
      <bottom/>
      <diagonal/>
    </border>
    <border>
      <left style="medium">
        <color theme="8" tint="-0.499984740745262"/>
      </left>
      <right/>
      <top/>
      <bottom style="medium">
        <color theme="8" tint="-0.499984740745262"/>
      </bottom>
      <diagonal/>
    </border>
    <border>
      <left/>
      <right/>
      <top/>
      <bottom style="medium">
        <color theme="8" tint="-0.499984740745262"/>
      </bottom>
      <diagonal/>
    </border>
    <border>
      <left/>
      <right style="medium">
        <color theme="8" tint="-0.499984740745262"/>
      </right>
      <top/>
      <bottom style="medium">
        <color theme="8" tint="-0.499984740745262"/>
      </bottom>
      <diagonal/>
    </border>
    <border>
      <left style="medium">
        <color theme="8" tint="-0.499984740745262"/>
      </left>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style="medium">
        <color theme="8" tint="-0.24994659260841701"/>
      </left>
      <right/>
      <top style="medium">
        <color theme="8" tint="-0.24994659260841701"/>
      </top>
      <bottom style="medium">
        <color theme="8" tint="-0.24994659260841701"/>
      </bottom>
      <diagonal/>
    </border>
    <border>
      <left/>
      <right/>
      <top style="medium">
        <color theme="8" tint="-0.24994659260841701"/>
      </top>
      <bottom style="medium">
        <color theme="8" tint="-0.24994659260841701"/>
      </bottom>
      <diagonal/>
    </border>
    <border>
      <left/>
      <right style="medium">
        <color theme="8" tint="-0.24994659260841701"/>
      </right>
      <top style="medium">
        <color theme="8" tint="-0.24994659260841701"/>
      </top>
      <bottom style="medium">
        <color theme="8" tint="-0.24994659260841701"/>
      </bottom>
      <diagonal/>
    </border>
    <border>
      <left style="thick">
        <color theme="0"/>
      </left>
      <right style="thin">
        <color theme="4"/>
      </right>
      <top style="thick">
        <color theme="4"/>
      </top>
      <bottom/>
      <diagonal/>
    </border>
    <border>
      <left style="thin">
        <color theme="4"/>
      </left>
      <right style="thin">
        <color theme="4"/>
      </right>
      <top style="thick">
        <color theme="4"/>
      </top>
      <bottom/>
      <diagonal/>
    </border>
    <border>
      <left style="thin">
        <color theme="4"/>
      </left>
      <right/>
      <top style="thick">
        <color theme="4"/>
      </top>
      <bottom/>
      <diagonal/>
    </border>
    <border>
      <left style="thin">
        <color theme="4"/>
      </left>
      <right style="thick">
        <color theme="4"/>
      </right>
      <top style="thick">
        <color theme="4"/>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thin">
        <color theme="0"/>
      </top>
      <bottom style="thin">
        <color theme="0"/>
      </bottom>
      <diagonal/>
    </border>
    <border>
      <left/>
      <right style="thick">
        <color theme="4"/>
      </right>
      <top style="thin">
        <color theme="0"/>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thin">
        <color theme="4"/>
      </bottom>
      <diagonal/>
    </border>
    <border>
      <left/>
      <right/>
      <top style="medium">
        <color theme="4"/>
      </top>
      <bottom style="thin">
        <color theme="4"/>
      </bottom>
      <diagonal/>
    </border>
    <border>
      <left/>
      <right style="medium">
        <color theme="4"/>
      </right>
      <top style="medium">
        <color theme="4"/>
      </top>
      <bottom style="thin">
        <color theme="4"/>
      </bottom>
      <diagonal/>
    </border>
    <border>
      <left style="medium">
        <color theme="4"/>
      </left>
      <right/>
      <top style="thin">
        <color theme="4"/>
      </top>
      <bottom style="thin">
        <color theme="4"/>
      </bottom>
      <diagonal/>
    </border>
    <border>
      <left/>
      <right/>
      <top style="thin">
        <color theme="4"/>
      </top>
      <bottom style="thin">
        <color theme="4"/>
      </bottom>
      <diagonal/>
    </border>
    <border>
      <left/>
      <right style="medium">
        <color theme="4"/>
      </right>
      <top style="thin">
        <color theme="4"/>
      </top>
      <bottom style="thin">
        <color theme="4"/>
      </bottom>
      <diagonal/>
    </border>
    <border>
      <left style="medium">
        <color theme="4"/>
      </left>
      <right/>
      <top style="thin">
        <color theme="4"/>
      </top>
      <bottom style="medium">
        <color theme="4"/>
      </bottom>
      <diagonal/>
    </border>
    <border>
      <left/>
      <right/>
      <top style="thin">
        <color theme="4"/>
      </top>
      <bottom style="medium">
        <color theme="4"/>
      </bottom>
      <diagonal/>
    </border>
    <border>
      <left/>
      <right style="medium">
        <color theme="4"/>
      </right>
      <top style="thin">
        <color theme="4"/>
      </top>
      <bottom style="medium">
        <color theme="4"/>
      </bottom>
      <diagonal/>
    </border>
    <border>
      <left style="medium">
        <color theme="4"/>
      </left>
      <right style="medium">
        <color theme="4"/>
      </right>
      <top style="medium">
        <color theme="4"/>
      </top>
      <bottom style="thin">
        <color theme="4"/>
      </bottom>
      <diagonal/>
    </border>
    <border>
      <left style="medium">
        <color theme="4"/>
      </left>
      <right style="medium">
        <color theme="4"/>
      </right>
      <top style="thin">
        <color theme="4"/>
      </top>
      <bottom style="thin">
        <color theme="4"/>
      </bottom>
      <diagonal/>
    </border>
    <border>
      <left style="medium">
        <color theme="4"/>
      </left>
      <right style="medium">
        <color theme="4"/>
      </right>
      <top style="thin">
        <color theme="4"/>
      </top>
      <bottom style="medium">
        <color theme="4"/>
      </bottom>
      <diagonal/>
    </border>
    <border>
      <left/>
      <right style="thin">
        <color theme="4"/>
      </right>
      <top/>
      <bottom style="thin">
        <color theme="4"/>
      </bottom>
      <diagonal/>
    </border>
    <border>
      <left/>
      <right style="thin">
        <color theme="4"/>
      </right>
      <top style="thin">
        <color theme="4"/>
      </top>
      <bottom style="thin">
        <color theme="4"/>
      </bottom>
      <diagonal/>
    </border>
    <border>
      <left/>
      <right style="thin">
        <color theme="4"/>
      </right>
      <top style="thin">
        <color theme="4"/>
      </top>
      <bottom style="medium">
        <color theme="4"/>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6" fillId="2" borderId="0" applyNumberFormat="0" applyBorder="0" applyAlignment="0" applyProtection="0"/>
    <xf numFmtId="0" fontId="1" fillId="3" borderId="0" applyNumberFormat="0" applyBorder="0" applyAlignment="0" applyProtection="0"/>
    <xf numFmtId="0" fontId="6" fillId="4" borderId="0" applyNumberFormat="0" applyBorder="0" applyAlignment="0" applyProtection="0"/>
    <xf numFmtId="0" fontId="24" fillId="12" borderId="0" applyNumberFormat="0" applyBorder="0" applyAlignment="0" applyProtection="0"/>
    <xf numFmtId="0" fontId="34" fillId="0" borderId="0" applyNumberFormat="0" applyFill="0" applyBorder="0" applyAlignment="0" applyProtection="0"/>
    <xf numFmtId="43" fontId="1" fillId="0" borderId="0" applyFont="0" applyFill="0" applyBorder="0" applyAlignment="0" applyProtection="0"/>
  </cellStyleXfs>
  <cellXfs count="385">
    <xf numFmtId="0" fontId="0" fillId="0" borderId="0" xfId="0"/>
    <xf numFmtId="0" fontId="5" fillId="0" borderId="0" xfId="0" applyFont="1"/>
    <xf numFmtId="0" fontId="3" fillId="2" borderId="4" xfId="3" applyFont="1" applyBorder="1"/>
    <xf numFmtId="0" fontId="3" fillId="2" borderId="6" xfId="3" applyFont="1" applyBorder="1"/>
    <xf numFmtId="0" fontId="2" fillId="5" borderId="4" xfId="5" applyFont="1" applyFill="1" applyBorder="1"/>
    <xf numFmtId="0" fontId="2" fillId="5" borderId="9" xfId="5" applyFont="1" applyFill="1" applyBorder="1"/>
    <xf numFmtId="0" fontId="3" fillId="2" borderId="9" xfId="3" applyFont="1" applyBorder="1"/>
    <xf numFmtId="0" fontId="3" fillId="2" borderId="10" xfId="3" applyFont="1" applyBorder="1"/>
    <xf numFmtId="0" fontId="8" fillId="5" borderId="22" xfId="5" applyFont="1" applyFill="1" applyBorder="1" applyAlignment="1">
      <alignment horizontal="center"/>
    </xf>
    <xf numFmtId="0" fontId="8" fillId="5" borderId="23" xfId="5" applyFont="1" applyFill="1" applyBorder="1" applyAlignment="1">
      <alignment horizontal="center"/>
    </xf>
    <xf numFmtId="0" fontId="8" fillId="5" borderId="24" xfId="5" applyFont="1" applyFill="1" applyBorder="1" applyAlignment="1">
      <alignment horizontal="center"/>
    </xf>
    <xf numFmtId="0" fontId="5" fillId="7" borderId="0" xfId="0" applyFont="1" applyFill="1"/>
    <xf numFmtId="0" fontId="9" fillId="7" borderId="0" xfId="0" applyFont="1" applyFill="1"/>
    <xf numFmtId="0" fontId="8" fillId="5" borderId="31" xfId="5" applyFont="1" applyFill="1" applyBorder="1" applyAlignment="1">
      <alignment horizontal="center"/>
    </xf>
    <xf numFmtId="0" fontId="2" fillId="6" borderId="4" xfId="5" applyFont="1" applyFill="1" applyBorder="1"/>
    <xf numFmtId="0" fontId="2" fillId="6" borderId="9" xfId="5" applyFont="1" applyFill="1" applyBorder="1"/>
    <xf numFmtId="0" fontId="8" fillId="6" borderId="22" xfId="5" applyFont="1" applyFill="1" applyBorder="1" applyAlignment="1">
      <alignment horizontal="center"/>
    </xf>
    <xf numFmtId="0" fontId="8" fillId="6" borderId="31" xfId="5" applyFont="1" applyFill="1" applyBorder="1" applyAlignment="1">
      <alignment horizontal="center"/>
    </xf>
    <xf numFmtId="0" fontId="5" fillId="0" borderId="0" xfId="0" applyFont="1" applyAlignment="1">
      <alignment wrapText="1"/>
    </xf>
    <xf numFmtId="0" fontId="3" fillId="8" borderId="15" xfId="5" applyFont="1" applyFill="1" applyBorder="1" applyAlignment="1">
      <alignment horizontal="center" wrapText="1"/>
    </xf>
    <xf numFmtId="0" fontId="0" fillId="0" borderId="0" xfId="0" applyAlignment="1">
      <alignment wrapText="1"/>
    </xf>
    <xf numFmtId="0" fontId="2" fillId="9" borderId="4" xfId="5" applyFont="1" applyFill="1" applyBorder="1"/>
    <xf numFmtId="0" fontId="2" fillId="9" borderId="9" xfId="5" applyFont="1" applyFill="1" applyBorder="1"/>
    <xf numFmtId="0" fontId="8" fillId="9" borderId="22" xfId="5" applyFont="1" applyFill="1" applyBorder="1" applyAlignment="1">
      <alignment horizontal="center"/>
    </xf>
    <xf numFmtId="0" fontId="8" fillId="9" borderId="23" xfId="5" applyFont="1" applyFill="1" applyBorder="1" applyAlignment="1">
      <alignment horizontal="center"/>
    </xf>
    <xf numFmtId="0" fontId="8" fillId="9" borderId="31" xfId="5" applyFont="1" applyFill="1" applyBorder="1" applyAlignment="1">
      <alignment horizontal="center"/>
    </xf>
    <xf numFmtId="0" fontId="11" fillId="0" borderId="0" xfId="0" applyFont="1"/>
    <xf numFmtId="0" fontId="9" fillId="7" borderId="0" xfId="0" applyFont="1" applyFill="1" applyAlignment="1">
      <alignment vertical="top"/>
    </xf>
    <xf numFmtId="0" fontId="5" fillId="7" borderId="0" xfId="0" applyFont="1" applyFill="1" applyAlignment="1">
      <alignment vertical="top"/>
    </xf>
    <xf numFmtId="0" fontId="0" fillId="0" borderId="0" xfId="0" applyAlignment="1">
      <alignment vertical="top"/>
    </xf>
    <xf numFmtId="166" fontId="5" fillId="7" borderId="0" xfId="1" applyNumberFormat="1" applyFont="1" applyFill="1"/>
    <xf numFmtId="166" fontId="0" fillId="0" borderId="0" xfId="1" applyNumberFormat="1" applyFont="1"/>
    <xf numFmtId="166" fontId="8" fillId="9" borderId="24" xfId="1" applyNumberFormat="1" applyFont="1" applyFill="1" applyBorder="1" applyAlignment="1">
      <alignment horizontal="center"/>
    </xf>
    <xf numFmtId="0" fontId="3" fillId="8" borderId="13" xfId="5" applyFont="1" applyFill="1" applyBorder="1" applyAlignment="1">
      <alignment horizontal="center" wrapText="1"/>
    </xf>
    <xf numFmtId="166" fontId="8" fillId="6" borderId="53" xfId="1" applyNumberFormat="1" applyFont="1" applyFill="1" applyBorder="1" applyAlignment="1">
      <alignment horizontal="center"/>
    </xf>
    <xf numFmtId="0" fontId="0" fillId="0" borderId="0" xfId="0" applyAlignment="1">
      <alignment horizontal="left" vertical="top" wrapText="1"/>
    </xf>
    <xf numFmtId="0" fontId="11" fillId="0" borderId="0" xfId="0" applyFont="1" applyAlignment="1">
      <alignment vertical="top"/>
    </xf>
    <xf numFmtId="14" fontId="0" fillId="0" borderId="0" xfId="0" applyNumberFormat="1" applyAlignment="1">
      <alignment vertical="top"/>
    </xf>
    <xf numFmtId="0" fontId="12" fillId="0" borderId="0" xfId="0" applyFont="1" applyAlignment="1">
      <alignment vertical="top"/>
    </xf>
    <xf numFmtId="168" fontId="10" fillId="5" borderId="22" xfId="5" applyNumberFormat="1" applyFont="1" applyFill="1" applyBorder="1" applyAlignment="1">
      <alignment horizontal="center"/>
    </xf>
    <xf numFmtId="168" fontId="10" fillId="5" borderId="23" xfId="5" applyNumberFormat="1" applyFont="1" applyFill="1" applyBorder="1" applyAlignment="1">
      <alignment horizontal="center"/>
    </xf>
    <xf numFmtId="168" fontId="10" fillId="5" borderId="31" xfId="5" applyNumberFormat="1" applyFont="1" applyFill="1" applyBorder="1" applyAlignment="1">
      <alignment horizontal="center"/>
    </xf>
    <xf numFmtId="168" fontId="10" fillId="5" borderId="24" xfId="1" applyNumberFormat="1" applyFont="1" applyFill="1" applyBorder="1" applyAlignment="1">
      <alignment horizontal="center"/>
    </xf>
    <xf numFmtId="0" fontId="4" fillId="0" borderId="0" xfId="0" applyFont="1" applyAlignment="1">
      <alignment vertical="top"/>
    </xf>
    <xf numFmtId="0" fontId="3" fillId="2" borderId="0" xfId="3" applyFont="1" applyAlignment="1">
      <alignment vertical="top"/>
    </xf>
    <xf numFmtId="0" fontId="5" fillId="3" borderId="0" xfId="4" applyFont="1" applyAlignment="1">
      <alignment vertical="top"/>
    </xf>
    <xf numFmtId="0" fontId="3" fillId="2" borderId="12" xfId="3" applyFont="1" applyBorder="1" applyAlignment="1">
      <alignment horizontal="center" vertical="top"/>
    </xf>
    <xf numFmtId="0" fontId="3" fillId="2" borderId="13" xfId="3" applyFont="1" applyBorder="1" applyAlignment="1">
      <alignment horizontal="center" vertical="top"/>
    </xf>
    <xf numFmtId="0" fontId="3" fillId="2" borderId="16" xfId="3" applyFont="1" applyBorder="1" applyAlignment="1">
      <alignment horizontal="center" vertical="top"/>
    </xf>
    <xf numFmtId="0" fontId="3" fillId="2" borderId="15" xfId="3" applyFont="1" applyBorder="1" applyAlignment="1">
      <alignment horizontal="center" vertical="top"/>
    </xf>
    <xf numFmtId="0" fontId="0" fillId="0" borderId="4" xfId="0" applyBorder="1" applyAlignment="1">
      <alignment horizontal="left" vertical="top"/>
    </xf>
    <xf numFmtId="0" fontId="0" fillId="0" borderId="5" xfId="0" applyBorder="1" applyAlignment="1">
      <alignment horizontal="center" vertical="top"/>
    </xf>
    <xf numFmtId="167" fontId="0" fillId="0" borderId="29" xfId="2" applyNumberFormat="1" applyFont="1" applyBorder="1" applyAlignment="1">
      <alignment horizontal="right" vertical="top"/>
    </xf>
    <xf numFmtId="167" fontId="0" fillId="0" borderId="23" xfId="2" applyNumberFormat="1" applyFont="1" applyBorder="1" applyAlignment="1">
      <alignment horizontal="right" vertical="top"/>
    </xf>
    <xf numFmtId="167" fontId="0" fillId="0" borderId="24" xfId="2" applyNumberFormat="1" applyFont="1" applyBorder="1" applyAlignment="1">
      <alignment horizontal="right" vertical="top"/>
    </xf>
    <xf numFmtId="0" fontId="0" fillId="0" borderId="6" xfId="0" applyBorder="1" applyAlignment="1">
      <alignment horizontal="left" vertical="top"/>
    </xf>
    <xf numFmtId="0" fontId="0" fillId="0" borderId="7" xfId="0" applyBorder="1" applyAlignment="1">
      <alignment horizontal="center" vertical="top"/>
    </xf>
    <xf numFmtId="167" fontId="0" fillId="0" borderId="30" xfId="2" applyNumberFormat="1" applyFont="1" applyBorder="1" applyAlignment="1">
      <alignment horizontal="right" vertical="top"/>
    </xf>
    <xf numFmtId="167" fontId="0" fillId="0" borderId="26" xfId="2" applyNumberFormat="1" applyFont="1" applyBorder="1" applyAlignment="1">
      <alignment horizontal="right" vertical="top"/>
    </xf>
    <xf numFmtId="167" fontId="0" fillId="0" borderId="27" xfId="2" applyNumberFormat="1" applyFont="1" applyBorder="1" applyAlignment="1">
      <alignment horizontal="right" vertical="top"/>
    </xf>
    <xf numFmtId="0" fontId="0" fillId="0" borderId="5" xfId="0" applyBorder="1" applyAlignment="1">
      <alignment horizontal="left" vertical="top"/>
    </xf>
    <xf numFmtId="0" fontId="0" fillId="0" borderId="7" xfId="0" applyBorder="1" applyAlignment="1">
      <alignment horizontal="left" vertical="top"/>
    </xf>
    <xf numFmtId="0" fontId="8" fillId="6" borderId="24" xfId="5" applyFont="1" applyFill="1" applyBorder="1" applyAlignment="1">
      <alignment horizontal="center"/>
    </xf>
    <xf numFmtId="0" fontId="13" fillId="0" borderId="0" xfId="0" applyFont="1"/>
    <xf numFmtId="0" fontId="6" fillId="8" borderId="13" xfId="5" applyFill="1" applyBorder="1" applyAlignment="1">
      <alignment horizontal="center" wrapText="1"/>
    </xf>
    <xf numFmtId="0" fontId="3" fillId="10" borderId="56" xfId="0" applyFont="1" applyFill="1" applyBorder="1" applyAlignment="1">
      <alignment horizontal="center" wrapText="1"/>
    </xf>
    <xf numFmtId="0" fontId="5" fillId="7" borderId="0" xfId="0" applyFont="1" applyFill="1" applyAlignment="1">
      <alignment horizontal="center"/>
    </xf>
    <xf numFmtId="0" fontId="0" fillId="0" borderId="0" xfId="0" applyAlignment="1">
      <alignment horizontal="center"/>
    </xf>
    <xf numFmtId="0" fontId="0" fillId="0" borderId="57" xfId="0" applyBorder="1" applyAlignment="1">
      <alignment horizontal="center"/>
    </xf>
    <xf numFmtId="0" fontId="15" fillId="0" borderId="57" xfId="0" applyFont="1" applyBorder="1" applyAlignment="1">
      <alignment horizontal="center"/>
    </xf>
    <xf numFmtId="0" fontId="15" fillId="0" borderId="58" xfId="0" applyFont="1" applyBorder="1" applyAlignment="1">
      <alignment horizontal="center"/>
    </xf>
    <xf numFmtId="0" fontId="0" fillId="0" borderId="60" xfId="0" applyBorder="1"/>
    <xf numFmtId="0" fontId="3" fillId="11" borderId="59" xfId="0" applyFont="1" applyFill="1" applyBorder="1" applyAlignment="1">
      <alignment horizontal="center" wrapText="1"/>
    </xf>
    <xf numFmtId="0" fontId="6" fillId="10" borderId="57" xfId="0" applyFont="1" applyFill="1" applyBorder="1" applyAlignment="1">
      <alignment horizontal="center" vertical="center" wrapText="1"/>
    </xf>
    <xf numFmtId="0" fontId="5" fillId="7" borderId="0" xfId="0" applyFont="1" applyFill="1" applyAlignment="1">
      <alignment horizontal="right" vertical="top"/>
    </xf>
    <xf numFmtId="0" fontId="22" fillId="0" borderId="0" xfId="0" applyFont="1" applyAlignment="1">
      <alignment horizontal="justify" vertical="center"/>
    </xf>
    <xf numFmtId="0" fontId="27" fillId="13" borderId="0" xfId="0" applyFont="1" applyFill="1"/>
    <xf numFmtId="0" fontId="27" fillId="13" borderId="70" xfId="0" applyFont="1" applyFill="1" applyBorder="1"/>
    <xf numFmtId="166" fontId="27" fillId="13" borderId="71" xfId="1" applyNumberFormat="1" applyFont="1" applyFill="1" applyBorder="1"/>
    <xf numFmtId="0" fontId="27" fillId="13" borderId="72" xfId="0" applyFont="1" applyFill="1" applyBorder="1"/>
    <xf numFmtId="0" fontId="27" fillId="13" borderId="73" xfId="0" applyFont="1" applyFill="1" applyBorder="1"/>
    <xf numFmtId="166" fontId="27" fillId="13" borderId="74" xfId="1" applyNumberFormat="1" applyFont="1" applyFill="1" applyBorder="1"/>
    <xf numFmtId="0" fontId="27" fillId="13" borderId="76" xfId="0" applyFont="1" applyFill="1" applyBorder="1"/>
    <xf numFmtId="0" fontId="29" fillId="13" borderId="75" xfId="6" applyFont="1" applyFill="1" applyBorder="1"/>
    <xf numFmtId="0" fontId="29" fillId="13" borderId="76" xfId="6" applyFont="1" applyFill="1" applyBorder="1"/>
    <xf numFmtId="0" fontId="29" fillId="13" borderId="76" xfId="6" applyFont="1" applyFill="1" applyBorder="1" applyAlignment="1">
      <alignment horizontal="center"/>
    </xf>
    <xf numFmtId="0" fontId="30" fillId="13" borderId="76" xfId="6" applyFont="1" applyFill="1" applyBorder="1"/>
    <xf numFmtId="0" fontId="31" fillId="13" borderId="77" xfId="6" applyFont="1" applyFill="1" applyBorder="1"/>
    <xf numFmtId="0" fontId="31" fillId="0" borderId="0" xfId="6" applyFont="1" applyFill="1" applyBorder="1"/>
    <xf numFmtId="166" fontId="31" fillId="0" borderId="0" xfId="6" applyNumberFormat="1" applyFont="1" applyFill="1" applyBorder="1"/>
    <xf numFmtId="0" fontId="32" fillId="0" borderId="0" xfId="0" applyFont="1"/>
    <xf numFmtId="0" fontId="31" fillId="13" borderId="76" xfId="6" applyFont="1" applyFill="1" applyBorder="1"/>
    <xf numFmtId="0" fontId="32" fillId="13" borderId="76" xfId="0" applyFont="1" applyFill="1" applyBorder="1"/>
    <xf numFmtId="0" fontId="29" fillId="13" borderId="76" xfId="6" applyFont="1" applyFill="1" applyBorder="1" applyAlignment="1">
      <alignment horizontal="left"/>
    </xf>
    <xf numFmtId="0" fontId="29" fillId="13" borderId="67" xfId="6" applyFont="1" applyFill="1" applyBorder="1"/>
    <xf numFmtId="0" fontId="29" fillId="13" borderId="68" xfId="6" applyFont="1" applyFill="1" applyBorder="1"/>
    <xf numFmtId="0" fontId="31" fillId="13" borderId="68" xfId="6" applyFont="1" applyFill="1" applyBorder="1"/>
    <xf numFmtId="166" fontId="31" fillId="13" borderId="69" xfId="6" applyNumberFormat="1" applyFont="1" applyFill="1" applyBorder="1"/>
    <xf numFmtId="0" fontId="29" fillId="13" borderId="68" xfId="6" applyFont="1" applyFill="1" applyBorder="1" applyAlignment="1">
      <alignment horizontal="left"/>
    </xf>
    <xf numFmtId="0" fontId="0" fillId="13" borderId="4" xfId="0" applyFill="1" applyBorder="1" applyAlignment="1">
      <alignment horizontal="left" vertical="top"/>
    </xf>
    <xf numFmtId="0" fontId="0" fillId="13" borderId="5" xfId="0" applyFill="1" applyBorder="1" applyAlignment="1">
      <alignment horizontal="center" vertical="top"/>
    </xf>
    <xf numFmtId="167" fontId="0" fillId="13" borderId="29" xfId="2" applyNumberFormat="1" applyFont="1" applyFill="1" applyBorder="1" applyAlignment="1">
      <alignment horizontal="right" vertical="top"/>
    </xf>
    <xf numFmtId="167" fontId="0" fillId="13" borderId="23" xfId="2" applyNumberFormat="1" applyFont="1" applyFill="1" applyBorder="1" applyAlignment="1">
      <alignment horizontal="right" vertical="top"/>
    </xf>
    <xf numFmtId="167" fontId="0" fillId="13" borderId="24" xfId="2" applyNumberFormat="1" applyFont="1" applyFill="1" applyBorder="1" applyAlignment="1">
      <alignment horizontal="right" vertical="top"/>
    </xf>
    <xf numFmtId="0" fontId="0" fillId="13" borderId="5" xfId="0" applyFill="1" applyBorder="1" applyAlignment="1">
      <alignment horizontal="left" vertical="top"/>
    </xf>
    <xf numFmtId="0" fontId="0" fillId="13" borderId="6" xfId="0" applyFill="1" applyBorder="1" applyAlignment="1">
      <alignment horizontal="left" vertical="top"/>
    </xf>
    <xf numFmtId="0" fontId="0" fillId="13" borderId="7" xfId="0" applyFill="1" applyBorder="1" applyAlignment="1">
      <alignment horizontal="left" vertical="top"/>
    </xf>
    <xf numFmtId="167" fontId="0" fillId="13" borderId="30" xfId="2" applyNumberFormat="1" applyFont="1" applyFill="1" applyBorder="1" applyAlignment="1">
      <alignment horizontal="right" vertical="top"/>
    </xf>
    <xf numFmtId="167" fontId="0" fillId="13" borderId="26" xfId="2" applyNumberFormat="1" applyFont="1" applyFill="1" applyBorder="1" applyAlignment="1">
      <alignment horizontal="right" vertical="top"/>
    </xf>
    <xf numFmtId="167" fontId="0" fillId="13" borderId="27" xfId="2" applyNumberFormat="1" applyFont="1" applyFill="1" applyBorder="1" applyAlignment="1">
      <alignment horizontal="right" vertical="top"/>
    </xf>
    <xf numFmtId="0" fontId="29" fillId="13" borderId="78" xfId="6" applyFont="1" applyFill="1" applyBorder="1"/>
    <xf numFmtId="0" fontId="29" fillId="13" borderId="79" xfId="6" applyFont="1" applyFill="1" applyBorder="1"/>
    <xf numFmtId="0" fontId="27" fillId="13" borderId="79" xfId="0" applyFont="1" applyFill="1" applyBorder="1"/>
    <xf numFmtId="0" fontId="31" fillId="13" borderId="79" xfId="6" applyFont="1" applyFill="1" applyBorder="1"/>
    <xf numFmtId="166" fontId="31" fillId="13" borderId="79" xfId="6" applyNumberFormat="1" applyFont="1" applyFill="1" applyBorder="1"/>
    <xf numFmtId="0" fontId="32" fillId="13" borderId="80" xfId="0" applyFont="1" applyFill="1" applyBorder="1"/>
    <xf numFmtId="0" fontId="29" fillId="13" borderId="79" xfId="6" applyFont="1" applyFill="1" applyBorder="1" applyAlignment="1">
      <alignment horizontal="center"/>
    </xf>
    <xf numFmtId="0" fontId="2" fillId="9" borderId="1" xfId="5" applyFont="1" applyFill="1" applyBorder="1"/>
    <xf numFmtId="0" fontId="2" fillId="9" borderId="8" xfId="5" applyFont="1" applyFill="1" applyBorder="1"/>
    <xf numFmtId="166" fontId="8" fillId="9" borderId="84" xfId="1" applyNumberFormat="1" applyFont="1" applyFill="1" applyBorder="1" applyAlignment="1">
      <alignment horizontal="center"/>
    </xf>
    <xf numFmtId="164" fontId="0" fillId="0" borderId="22" xfId="1" applyNumberFormat="1" applyFont="1" applyBorder="1" applyAlignment="1" applyProtection="1">
      <alignment horizontal="right" indent="2"/>
      <protection locked="0"/>
    </xf>
    <xf numFmtId="164" fontId="0" fillId="0" borderId="31" xfId="1" applyNumberFormat="1" applyFont="1" applyBorder="1" applyAlignment="1" applyProtection="1">
      <alignment horizontal="right" indent="2"/>
      <protection locked="0"/>
    </xf>
    <xf numFmtId="164" fontId="0" fillId="0" borderId="25" xfId="1" applyNumberFormat="1" applyFont="1" applyBorder="1" applyAlignment="1" applyProtection="1">
      <alignment horizontal="right" indent="2"/>
      <protection locked="0"/>
    </xf>
    <xf numFmtId="164" fontId="0" fillId="0" borderId="32" xfId="1" applyNumberFormat="1" applyFont="1" applyBorder="1" applyAlignment="1" applyProtection="1">
      <alignment horizontal="right" indent="2"/>
      <protection locked="0"/>
    </xf>
    <xf numFmtId="166" fontId="0" fillId="0" borderId="22" xfId="1" applyNumberFormat="1" applyFont="1" applyBorder="1" applyAlignment="1" applyProtection="1">
      <alignment horizontal="right" indent="2"/>
      <protection locked="0"/>
    </xf>
    <xf numFmtId="166" fontId="0" fillId="0" borderId="31" xfId="1" applyNumberFormat="1" applyFont="1" applyBorder="1" applyAlignment="1" applyProtection="1">
      <alignment horizontal="right" indent="2"/>
      <protection locked="0"/>
    </xf>
    <xf numFmtId="166" fontId="0" fillId="0" borderId="24" xfId="1" applyNumberFormat="1" applyFont="1" applyBorder="1" applyAlignment="1" applyProtection="1">
      <alignment horizontal="right" indent="2"/>
      <protection locked="0"/>
    </xf>
    <xf numFmtId="166" fontId="0" fillId="14" borderId="24" xfId="1" applyNumberFormat="1" applyFont="1" applyFill="1" applyBorder="1"/>
    <xf numFmtId="166" fontId="0" fillId="14" borderId="27" xfId="1" applyNumberFormat="1" applyFont="1" applyFill="1" applyBorder="1"/>
    <xf numFmtId="166" fontId="0" fillId="0" borderId="22" xfId="1" applyNumberFormat="1" applyFont="1" applyBorder="1" applyProtection="1">
      <protection locked="0"/>
    </xf>
    <xf numFmtId="166" fontId="0" fillId="0" borderId="23" xfId="1" applyNumberFormat="1" applyFont="1" applyBorder="1" applyProtection="1">
      <protection locked="0"/>
    </xf>
    <xf numFmtId="166" fontId="0" fillId="0" borderId="31" xfId="1" applyNumberFormat="1" applyFont="1" applyBorder="1" applyProtection="1">
      <protection locked="0"/>
    </xf>
    <xf numFmtId="166" fontId="0" fillId="0" borderId="25" xfId="1" applyNumberFormat="1" applyFont="1" applyBorder="1" applyProtection="1">
      <protection locked="0"/>
    </xf>
    <xf numFmtId="166" fontId="0" fillId="0" borderId="26" xfId="1" applyNumberFormat="1" applyFont="1" applyBorder="1" applyProtection="1">
      <protection locked="0"/>
    </xf>
    <xf numFmtId="166" fontId="0" fillId="0" borderId="32" xfId="1" applyNumberFormat="1" applyFont="1" applyBorder="1" applyProtection="1">
      <protection locked="0"/>
    </xf>
    <xf numFmtId="0" fontId="27" fillId="13" borderId="70" xfId="0" applyFont="1" applyFill="1" applyBorder="1" applyProtection="1">
      <protection locked="0"/>
    </xf>
    <xf numFmtId="0" fontId="29" fillId="0" borderId="0" xfId="6" applyFont="1" applyFill="1" applyBorder="1"/>
    <xf numFmtId="0" fontId="29" fillId="0" borderId="0" xfId="6" applyFont="1" applyFill="1" applyBorder="1" applyAlignment="1">
      <alignment horizontal="center"/>
    </xf>
    <xf numFmtId="0" fontId="27" fillId="0" borderId="0" xfId="0" applyFont="1"/>
    <xf numFmtId="0" fontId="24" fillId="12" borderId="85" xfId="6" applyBorder="1"/>
    <xf numFmtId="0" fontId="24" fillId="12" borderId="86" xfId="6" applyBorder="1"/>
    <xf numFmtId="0" fontId="24" fillId="12" borderId="86" xfId="6" applyBorder="1" applyAlignment="1">
      <alignment horizontal="center"/>
    </xf>
    <xf numFmtId="0" fontId="24" fillId="12" borderId="87" xfId="6" applyBorder="1"/>
    <xf numFmtId="0" fontId="28" fillId="0" borderId="0" xfId="0" applyFont="1" applyAlignment="1">
      <alignment horizontal="center"/>
    </xf>
    <xf numFmtId="166" fontId="27" fillId="0" borderId="0" xfId="1" applyNumberFormat="1" applyFont="1" applyFill="1" applyBorder="1"/>
    <xf numFmtId="0" fontId="28" fillId="0" borderId="0" xfId="0" applyFont="1" applyAlignment="1">
      <alignment horizontal="left" wrapText="1"/>
    </xf>
    <xf numFmtId="166" fontId="0" fillId="0" borderId="0" xfId="1" applyNumberFormat="1" applyFont="1" applyFill="1"/>
    <xf numFmtId="0" fontId="6" fillId="8" borderId="13" xfId="5" applyFill="1" applyBorder="1" applyAlignment="1">
      <alignment horizontal="center" vertical="center" wrapText="1"/>
    </xf>
    <xf numFmtId="0" fontId="24" fillId="0" borderId="0" xfId="6" applyFill="1" applyBorder="1"/>
    <xf numFmtId="0" fontId="24" fillId="0" borderId="0" xfId="6" applyFill="1" applyBorder="1" applyAlignment="1">
      <alignment horizontal="center"/>
    </xf>
    <xf numFmtId="0" fontId="24" fillId="12" borderId="90" xfId="6" applyBorder="1"/>
    <xf numFmtId="0" fontId="24" fillId="12" borderId="91" xfId="6" applyBorder="1"/>
    <xf numFmtId="0" fontId="24" fillId="12" borderId="91" xfId="6" applyBorder="1" applyAlignment="1">
      <alignment horizontal="center"/>
    </xf>
    <xf numFmtId="0" fontId="24" fillId="12" borderId="92" xfId="6" applyBorder="1"/>
    <xf numFmtId="0" fontId="24" fillId="12" borderId="94" xfId="6" applyBorder="1"/>
    <xf numFmtId="0" fontId="24" fillId="12" borderId="94" xfId="6" applyBorder="1" applyAlignment="1">
      <alignment horizontal="center"/>
    </xf>
    <xf numFmtId="0" fontId="24" fillId="12" borderId="95" xfId="6" applyBorder="1"/>
    <xf numFmtId="0" fontId="28" fillId="13" borderId="73" xfId="0" applyFont="1" applyFill="1" applyBorder="1" applyAlignment="1">
      <alignment horizontal="left"/>
    </xf>
    <xf numFmtId="0" fontId="28" fillId="13" borderId="0" xfId="0" applyFont="1" applyFill="1"/>
    <xf numFmtId="0" fontId="26" fillId="12" borderId="93" xfId="6" applyFont="1" applyBorder="1"/>
    <xf numFmtId="0" fontId="0" fillId="0" borderId="0" xfId="0" applyAlignment="1" applyProtection="1">
      <alignment horizontal="center" vertical="top"/>
      <protection locked="0"/>
    </xf>
    <xf numFmtId="0" fontId="0" fillId="0" borderId="66" xfId="0" applyBorder="1" applyAlignment="1" applyProtection="1">
      <alignment horizontal="center" vertical="top"/>
      <protection locked="0"/>
    </xf>
    <xf numFmtId="0" fontId="0" fillId="0" borderId="51" xfId="0" applyBorder="1" applyAlignment="1" applyProtection="1">
      <alignment horizontal="center" vertical="top"/>
      <protection locked="0"/>
    </xf>
    <xf numFmtId="0" fontId="0" fillId="0" borderId="52" xfId="0" applyBorder="1" applyAlignment="1" applyProtection="1">
      <alignment horizontal="center" vertical="top"/>
      <protection locked="0"/>
    </xf>
    <xf numFmtId="0" fontId="0" fillId="0" borderId="47" xfId="0" applyBorder="1" applyAlignment="1" applyProtection="1">
      <alignment horizontal="center" vertical="top"/>
      <protection locked="0"/>
    </xf>
    <xf numFmtId="0" fontId="0" fillId="0" borderId="48" xfId="0" applyBorder="1" applyAlignment="1" applyProtection="1">
      <alignment horizontal="center" vertical="top"/>
      <protection locked="0"/>
    </xf>
    <xf numFmtId="0" fontId="6" fillId="8" borderId="49" xfId="0" applyFont="1" applyFill="1" applyBorder="1" applyAlignment="1">
      <alignment vertical="top"/>
    </xf>
    <xf numFmtId="0" fontId="6" fillId="8" borderId="50" xfId="0" applyFont="1" applyFill="1" applyBorder="1" applyAlignment="1">
      <alignment vertical="top"/>
    </xf>
    <xf numFmtId="0" fontId="6" fillId="8" borderId="51" xfId="0" applyFont="1" applyFill="1" applyBorder="1" applyAlignment="1">
      <alignment horizontal="left" vertical="top" wrapText="1"/>
    </xf>
    <xf numFmtId="0" fontId="3" fillId="8" borderId="46" xfId="0" applyFont="1" applyFill="1" applyBorder="1" applyAlignment="1">
      <alignment vertical="top"/>
    </xf>
    <xf numFmtId="0" fontId="6" fillId="8" borderId="0" xfId="0" applyFont="1" applyFill="1" applyAlignment="1">
      <alignment vertical="top" wrapText="1"/>
    </xf>
    <xf numFmtId="0" fontId="6" fillId="8" borderId="51" xfId="0" applyFont="1" applyFill="1" applyBorder="1" applyAlignment="1">
      <alignment vertical="top" wrapText="1"/>
    </xf>
    <xf numFmtId="0" fontId="6" fillId="8" borderId="47" xfId="0" applyFont="1" applyFill="1" applyBorder="1" applyAlignment="1">
      <alignment vertical="top"/>
    </xf>
    <xf numFmtId="0" fontId="6" fillId="8" borderId="47" xfId="0" applyFont="1" applyFill="1" applyBorder="1" applyAlignment="1">
      <alignment horizontal="center" vertical="top"/>
    </xf>
    <xf numFmtId="0" fontId="6" fillId="8" borderId="48" xfId="0" applyFont="1" applyFill="1" applyBorder="1" applyAlignment="1">
      <alignment horizontal="center" vertical="top"/>
    </xf>
    <xf numFmtId="0" fontId="6" fillId="8" borderId="47" xfId="0" applyFont="1" applyFill="1" applyBorder="1" applyAlignment="1">
      <alignment horizontal="left" vertical="top" wrapText="1"/>
    </xf>
    <xf numFmtId="0" fontId="6" fillId="8" borderId="48" xfId="0" applyFont="1" applyFill="1" applyBorder="1" applyAlignment="1">
      <alignment horizontal="left" vertical="top" wrapText="1"/>
    </xf>
    <xf numFmtId="0" fontId="0" fillId="0" borderId="46" xfId="0" applyBorder="1" applyAlignment="1" applyProtection="1">
      <alignment horizontal="center" vertical="top"/>
      <protection locked="0"/>
    </xf>
    <xf numFmtId="0" fontId="0" fillId="0" borderId="49" xfId="0" applyBorder="1" applyAlignment="1" applyProtection="1">
      <alignment horizontal="center" vertical="top"/>
      <protection locked="0"/>
    </xf>
    <xf numFmtId="0" fontId="0" fillId="0" borderId="50" xfId="0" applyBorder="1" applyAlignment="1" applyProtection="1">
      <alignment horizontal="center" vertical="top"/>
      <protection locked="0"/>
    </xf>
    <xf numFmtId="0" fontId="8" fillId="9" borderId="82" xfId="5" applyFont="1" applyFill="1" applyBorder="1" applyAlignment="1" applyProtection="1">
      <alignment horizontal="center"/>
      <protection locked="0"/>
    </xf>
    <xf numFmtId="0" fontId="8" fillId="9" borderId="83" xfId="5" applyFont="1" applyFill="1" applyBorder="1" applyAlignment="1" applyProtection="1">
      <alignment horizontal="center"/>
      <protection locked="0"/>
    </xf>
    <xf numFmtId="0" fontId="8" fillId="6" borderId="22" xfId="5" applyFont="1" applyFill="1" applyBorder="1" applyAlignment="1" applyProtection="1">
      <alignment horizontal="center"/>
      <protection locked="0"/>
    </xf>
    <xf numFmtId="0" fontId="8" fillId="6" borderId="54" xfId="5" applyFont="1" applyFill="1" applyBorder="1" applyAlignment="1" applyProtection="1">
      <alignment horizontal="center"/>
      <protection locked="0"/>
    </xf>
    <xf numFmtId="0" fontId="8" fillId="9" borderId="23" xfId="5" applyFont="1" applyFill="1" applyBorder="1" applyAlignment="1" applyProtection="1">
      <alignment horizontal="center"/>
      <protection locked="0"/>
    </xf>
    <xf numFmtId="0" fontId="8" fillId="9" borderId="31" xfId="5" applyFont="1" applyFill="1" applyBorder="1" applyAlignment="1" applyProtection="1">
      <alignment horizontal="center"/>
      <protection locked="0"/>
    </xf>
    <xf numFmtId="0" fontId="0" fillId="0" borderId="0" xfId="0" applyAlignment="1">
      <alignment vertical="top" wrapText="1"/>
    </xf>
    <xf numFmtId="0" fontId="3" fillId="8" borderId="47" xfId="0" applyFont="1" applyFill="1" applyBorder="1" applyAlignment="1">
      <alignment vertical="top" wrapText="1"/>
    </xf>
    <xf numFmtId="0" fontId="6" fillId="8" borderId="47" xfId="0" applyFont="1" applyFill="1" applyBorder="1" applyAlignment="1">
      <alignment horizontal="center" vertical="center" wrapText="1"/>
    </xf>
    <xf numFmtId="0" fontId="0" fillId="15" borderId="109" xfId="0" applyFill="1" applyBorder="1" applyAlignment="1">
      <alignment horizontal="center" vertical="center" wrapText="1"/>
    </xf>
    <xf numFmtId="0" fontId="0" fillId="15" borderId="110" xfId="0" applyFill="1" applyBorder="1" applyAlignment="1">
      <alignment horizontal="center" vertical="center" wrapText="1"/>
    </xf>
    <xf numFmtId="0" fontId="0" fillId="15" borderId="111" xfId="0" applyFill="1" applyBorder="1" applyAlignment="1">
      <alignment horizontal="center" vertical="center" wrapText="1"/>
    </xf>
    <xf numFmtId="0" fontId="6" fillId="8" borderId="49" xfId="0" applyFont="1" applyFill="1" applyBorder="1" applyAlignment="1">
      <alignment horizontal="left" vertical="top" wrapText="1"/>
    </xf>
    <xf numFmtId="0" fontId="6" fillId="8" borderId="0" xfId="0" applyFont="1" applyFill="1" applyAlignment="1">
      <alignment horizontal="left" vertical="top" wrapText="1"/>
    </xf>
    <xf numFmtId="0" fontId="5" fillId="7" borderId="0" xfId="0" applyFont="1" applyFill="1" applyAlignment="1">
      <alignment vertical="top" wrapText="1"/>
    </xf>
    <xf numFmtId="0" fontId="37" fillId="7" borderId="0" xfId="0" applyFont="1" applyFill="1" applyAlignment="1">
      <alignment vertical="top"/>
    </xf>
    <xf numFmtId="0" fontId="26" fillId="0" borderId="0" xfId="0" applyFont="1" applyAlignment="1">
      <alignment vertical="top"/>
    </xf>
    <xf numFmtId="0" fontId="5" fillId="0" borderId="0" xfId="0" applyFont="1" applyAlignment="1">
      <alignment vertical="top" wrapText="1"/>
    </xf>
    <xf numFmtId="0" fontId="3" fillId="8" borderId="43" xfId="0" applyFont="1" applyFill="1" applyBorder="1" applyAlignment="1">
      <alignment vertical="top"/>
    </xf>
    <xf numFmtId="0" fontId="3" fillId="8" borderId="44" xfId="0" applyFont="1" applyFill="1" applyBorder="1" applyAlignment="1">
      <alignment vertical="top" wrapText="1"/>
    </xf>
    <xf numFmtId="0" fontId="5" fillId="0" borderId="0" xfId="0" applyFont="1" applyAlignment="1">
      <alignment vertical="top"/>
    </xf>
    <xf numFmtId="0" fontId="5" fillId="8" borderId="47" xfId="0" applyFont="1" applyFill="1" applyBorder="1" applyAlignment="1">
      <alignment vertical="top" wrapText="1"/>
    </xf>
    <xf numFmtId="0" fontId="0" fillId="15" borderId="96" xfId="0" applyFill="1" applyBorder="1" applyAlignment="1" applyProtection="1">
      <alignment vertical="top" wrapText="1"/>
      <protection locked="0"/>
    </xf>
    <xf numFmtId="0" fontId="0" fillId="3" borderId="0" xfId="4" applyFont="1" applyAlignment="1">
      <alignment vertical="top" wrapText="1"/>
    </xf>
    <xf numFmtId="0" fontId="3" fillId="2" borderId="20" xfId="3" applyFont="1" applyBorder="1" applyAlignment="1">
      <alignment horizontal="center" vertical="top"/>
    </xf>
    <xf numFmtId="0" fontId="15" fillId="0" borderId="56" xfId="0" applyFont="1" applyBorder="1" applyAlignment="1">
      <alignment horizontal="center"/>
    </xf>
    <xf numFmtId="167" fontId="0" fillId="16" borderId="29" xfId="2" applyNumberFormat="1" applyFont="1" applyFill="1" applyBorder="1" applyAlignment="1">
      <alignment horizontal="right" vertical="top"/>
    </xf>
    <xf numFmtId="167" fontId="0" fillId="16" borderId="23" xfId="2" applyNumberFormat="1" applyFont="1" applyFill="1" applyBorder="1" applyAlignment="1">
      <alignment horizontal="right" vertical="top"/>
    </xf>
    <xf numFmtId="167" fontId="0" fillId="16" borderId="24" xfId="2" applyNumberFormat="1" applyFont="1" applyFill="1" applyBorder="1" applyAlignment="1">
      <alignment horizontal="right" vertical="top"/>
    </xf>
    <xf numFmtId="0" fontId="0" fillId="16" borderId="4" xfId="0" applyFill="1" applyBorder="1" applyAlignment="1">
      <alignment horizontal="left" vertical="top"/>
    </xf>
    <xf numFmtId="0" fontId="0" fillId="16" borderId="5" xfId="0" applyFill="1" applyBorder="1" applyAlignment="1">
      <alignment horizontal="center" vertical="top"/>
    </xf>
    <xf numFmtId="0" fontId="0" fillId="16" borderId="5" xfId="0" applyFill="1" applyBorder="1" applyAlignment="1">
      <alignment horizontal="left" vertical="top"/>
    </xf>
    <xf numFmtId="168" fontId="10" fillId="5" borderId="22" xfId="5" applyNumberFormat="1" applyFont="1" applyFill="1" applyBorder="1" applyAlignment="1" applyProtection="1">
      <alignment horizontal="center"/>
    </xf>
    <xf numFmtId="166" fontId="0" fillId="0" borderId="22" xfId="1" applyNumberFormat="1" applyFont="1" applyBorder="1" applyProtection="1"/>
    <xf numFmtId="0" fontId="8" fillId="9" borderId="81" xfId="5" applyFont="1" applyFill="1" applyBorder="1" applyAlignment="1" applyProtection="1">
      <alignment horizontal="center"/>
    </xf>
    <xf numFmtId="0" fontId="8" fillId="6" borderId="22" xfId="5" applyFont="1" applyFill="1" applyBorder="1" applyAlignment="1" applyProtection="1">
      <alignment horizontal="center"/>
    </xf>
    <xf numFmtId="166" fontId="0" fillId="0" borderId="26" xfId="1" applyNumberFormat="1" applyFont="1" applyBorder="1" applyProtection="1"/>
    <xf numFmtId="0" fontId="8" fillId="9" borderId="22" xfId="5" applyFont="1" applyFill="1" applyBorder="1" applyAlignment="1" applyProtection="1">
      <alignment horizontal="center"/>
    </xf>
    <xf numFmtId="166" fontId="0" fillId="0" borderId="23" xfId="1" applyNumberFormat="1" applyFont="1" applyBorder="1" applyProtection="1"/>
    <xf numFmtId="166" fontId="0" fillId="0" borderId="25" xfId="1" applyNumberFormat="1" applyFont="1" applyBorder="1" applyProtection="1"/>
    <xf numFmtId="0" fontId="2" fillId="5" borderId="9" xfId="5" applyFont="1" applyFill="1" applyBorder="1" applyProtection="1"/>
    <xf numFmtId="168" fontId="10" fillId="5" borderId="23" xfId="5" applyNumberFormat="1" applyFont="1" applyFill="1" applyBorder="1" applyAlignment="1" applyProtection="1">
      <alignment horizontal="center"/>
    </xf>
    <xf numFmtId="168" fontId="10" fillId="5" borderId="31" xfId="5" applyNumberFormat="1" applyFont="1" applyFill="1" applyBorder="1" applyAlignment="1" applyProtection="1">
      <alignment horizontal="center"/>
    </xf>
    <xf numFmtId="168" fontId="10" fillId="5" borderId="24" xfId="1" applyNumberFormat="1" applyFont="1" applyFill="1" applyBorder="1" applyAlignment="1" applyProtection="1">
      <alignment horizontal="center"/>
    </xf>
    <xf numFmtId="0" fontId="2" fillId="5" borderId="4" xfId="5" applyFont="1" applyFill="1" applyBorder="1" applyProtection="1"/>
    <xf numFmtId="169" fontId="0" fillId="0" borderId="23" xfId="1" applyNumberFormat="1" applyFont="1" applyBorder="1" applyProtection="1">
      <protection locked="0"/>
    </xf>
    <xf numFmtId="0" fontId="34" fillId="0" borderId="0" xfId="7"/>
    <xf numFmtId="0" fontId="34" fillId="0" borderId="0" xfId="7" applyFill="1"/>
    <xf numFmtId="166" fontId="4" fillId="0" borderId="31" xfId="1" applyNumberFormat="1" applyFont="1" applyBorder="1" applyProtection="1">
      <protection locked="0"/>
    </xf>
    <xf numFmtId="166" fontId="0" fillId="0" borderId="23" xfId="1" applyNumberFormat="1" applyFont="1" applyFill="1" applyBorder="1" applyAlignment="1" applyProtection="1">
      <alignment horizontal="right" indent="2"/>
      <protection locked="0"/>
    </xf>
    <xf numFmtId="166" fontId="0" fillId="0" borderId="0" xfId="0" applyNumberFormat="1" applyProtection="1">
      <protection locked="0"/>
    </xf>
    <xf numFmtId="166" fontId="0" fillId="0" borderId="0" xfId="0" applyNumberFormat="1"/>
    <xf numFmtId="166" fontId="5" fillId="0" borderId="22" xfId="1" applyNumberFormat="1" applyFont="1" applyBorder="1" applyAlignment="1" applyProtection="1">
      <alignment horizontal="right" indent="2"/>
      <protection locked="0"/>
    </xf>
    <xf numFmtId="166" fontId="5" fillId="0" borderId="23" xfId="1" applyNumberFormat="1" applyFont="1" applyBorder="1" applyAlignment="1" applyProtection="1">
      <alignment horizontal="right" indent="2"/>
      <protection locked="0"/>
    </xf>
    <xf numFmtId="166" fontId="5" fillId="0" borderId="26" xfId="1" applyNumberFormat="1" applyFont="1" applyBorder="1" applyAlignment="1" applyProtection="1">
      <alignment horizontal="right" indent="2"/>
      <protection locked="0"/>
    </xf>
    <xf numFmtId="0" fontId="6" fillId="11" borderId="60" xfId="0" applyFont="1" applyFill="1" applyBorder="1" applyAlignment="1">
      <alignment horizontal="center" wrapText="1"/>
    </xf>
    <xf numFmtId="0" fontId="3" fillId="2" borderId="11" xfId="3" applyFont="1" applyBorder="1" applyAlignment="1">
      <alignment horizontal="center" vertical="center"/>
    </xf>
    <xf numFmtId="0" fontId="3" fillId="2" borderId="2" xfId="3" applyFont="1" applyBorder="1" applyAlignment="1">
      <alignment horizontal="center" vertical="center"/>
    </xf>
    <xf numFmtId="0" fontId="3" fillId="2" borderId="3" xfId="3" applyFont="1" applyBorder="1" applyAlignment="1">
      <alignment horizontal="center" vertical="center"/>
    </xf>
    <xf numFmtId="0" fontId="3" fillId="2" borderId="54" xfId="3" applyFont="1" applyBorder="1" applyAlignment="1">
      <alignment horizontal="center" vertical="center"/>
    </xf>
    <xf numFmtId="0" fontId="3" fillId="2" borderId="0" xfId="3" applyFont="1" applyBorder="1" applyAlignment="1">
      <alignment horizontal="center" vertical="center"/>
    </xf>
    <xf numFmtId="0" fontId="3" fillId="2" borderId="5" xfId="3" applyFont="1" applyBorder="1" applyAlignment="1">
      <alignment horizontal="center" vertical="center"/>
    </xf>
    <xf numFmtId="0" fontId="3" fillId="2" borderId="1" xfId="3" applyFont="1" applyBorder="1" applyAlignment="1">
      <alignment horizontal="center" vertical="center" wrapText="1"/>
    </xf>
    <xf numFmtId="0" fontId="3" fillId="2" borderId="8" xfId="3" applyFont="1" applyBorder="1" applyAlignment="1">
      <alignment horizontal="center" vertical="center" wrapText="1"/>
    </xf>
    <xf numFmtId="0" fontId="3" fillId="2" borderId="4" xfId="3" applyFont="1" applyBorder="1" applyAlignment="1">
      <alignment horizontal="center" vertical="center" wrapText="1"/>
    </xf>
    <xf numFmtId="0" fontId="3" fillId="2" borderId="9" xfId="3" applyFont="1" applyBorder="1" applyAlignment="1">
      <alignment horizontal="center" vertical="center" wrapText="1"/>
    </xf>
    <xf numFmtId="0" fontId="0" fillId="0" borderId="60" xfId="0" applyBorder="1" applyAlignment="1" applyProtection="1">
      <alignment horizontal="left" vertical="top" wrapText="1"/>
      <protection locked="0"/>
    </xf>
    <xf numFmtId="0" fontId="0" fillId="0" borderId="61" xfId="0" applyBorder="1" applyAlignment="1" applyProtection="1">
      <alignment horizontal="left" vertical="top" wrapText="1"/>
      <protection locked="0"/>
    </xf>
    <xf numFmtId="0" fontId="34" fillId="0" borderId="0" xfId="7"/>
    <xf numFmtId="0" fontId="34" fillId="0" borderId="0" xfId="7" applyFill="1" applyAlignment="1">
      <alignment horizontal="left" vertical="center"/>
    </xf>
    <xf numFmtId="0" fontId="34" fillId="0" borderId="0" xfId="7" applyAlignment="1">
      <alignment horizontal="left"/>
    </xf>
    <xf numFmtId="0" fontId="26" fillId="0" borderId="0" xfId="0" applyFont="1" applyAlignment="1">
      <alignment horizontal="left"/>
    </xf>
    <xf numFmtId="0" fontId="0" fillId="0" borderId="0" xfId="0" applyAlignment="1">
      <alignment horizontal="left"/>
    </xf>
    <xf numFmtId="0" fontId="38" fillId="7" borderId="0" xfId="7" applyFont="1" applyFill="1" applyAlignment="1">
      <alignment horizontal="left" vertical="top"/>
    </xf>
    <xf numFmtId="0" fontId="5" fillId="7" borderId="0" xfId="0" applyFont="1" applyFill="1" applyAlignment="1">
      <alignment horizontal="left" vertical="top"/>
    </xf>
    <xf numFmtId="0" fontId="0" fillId="0" borderId="0" xfId="0" applyAlignment="1">
      <alignment horizontal="left" vertical="top" wrapText="1"/>
    </xf>
    <xf numFmtId="0" fontId="0" fillId="0" borderId="0" xfId="0" applyAlignment="1">
      <alignment vertical="top" wrapText="1"/>
    </xf>
    <xf numFmtId="0" fontId="0" fillId="0" borderId="43" xfId="0" applyBorder="1" applyAlignment="1" applyProtection="1">
      <alignment horizontal="left" vertical="top" wrapText="1"/>
      <protection locked="0"/>
    </xf>
    <xf numFmtId="0" fontId="0" fillId="0" borderId="44" xfId="0" applyBorder="1" applyAlignment="1" applyProtection="1">
      <alignment horizontal="left" vertical="top" wrapText="1"/>
      <protection locked="0"/>
    </xf>
    <xf numFmtId="0" fontId="0" fillId="0" borderId="45" xfId="0" applyBorder="1" applyAlignment="1" applyProtection="1">
      <alignment horizontal="left" vertical="top" wrapText="1"/>
      <protection locked="0"/>
    </xf>
    <xf numFmtId="0" fontId="0" fillId="8" borderId="44" xfId="0" applyFill="1" applyBorder="1" applyAlignment="1">
      <alignment horizontal="center" vertical="top"/>
    </xf>
    <xf numFmtId="0" fontId="0" fillId="8" borderId="45" xfId="0" applyFill="1" applyBorder="1" applyAlignment="1">
      <alignment horizontal="center" vertical="top"/>
    </xf>
    <xf numFmtId="0" fontId="7" fillId="0" borderId="100" xfId="0" applyFont="1" applyBorder="1" applyAlignment="1" applyProtection="1">
      <alignment horizontal="left" vertical="top" wrapText="1"/>
      <protection locked="0"/>
    </xf>
    <xf numFmtId="0" fontId="7" fillId="0" borderId="101" xfId="0" applyFont="1" applyBorder="1" applyAlignment="1" applyProtection="1">
      <alignment horizontal="left" vertical="top" wrapText="1"/>
      <protection locked="0"/>
    </xf>
    <xf numFmtId="0" fontId="7" fillId="0" borderId="102" xfId="0" applyFont="1" applyBorder="1" applyAlignment="1" applyProtection="1">
      <alignment horizontal="left" vertical="top" wrapText="1"/>
      <protection locked="0"/>
    </xf>
    <xf numFmtId="0" fontId="7" fillId="15" borderId="107" xfId="0" applyFont="1" applyFill="1" applyBorder="1" applyAlignment="1">
      <alignment horizontal="left" vertical="top" wrapText="1"/>
    </xf>
    <xf numFmtId="0" fontId="7" fillId="15" borderId="108" xfId="0" applyFont="1" applyFill="1" applyBorder="1" applyAlignment="1">
      <alignment horizontal="left" vertical="top" wrapText="1"/>
    </xf>
    <xf numFmtId="0" fontId="7" fillId="0" borderId="103" xfId="0" applyFont="1" applyBorder="1" applyAlignment="1" applyProtection="1">
      <alignment horizontal="left" vertical="top" wrapText="1"/>
      <protection locked="0"/>
    </xf>
    <xf numFmtId="0" fontId="7" fillId="0" borderId="104" xfId="0" applyFont="1" applyBorder="1" applyAlignment="1" applyProtection="1">
      <alignment horizontal="left" vertical="top" wrapText="1"/>
      <protection locked="0"/>
    </xf>
    <xf numFmtId="0" fontId="7" fillId="0" borderId="105" xfId="0" applyFont="1" applyBorder="1" applyAlignment="1" applyProtection="1">
      <alignment horizontal="left" vertical="top" wrapText="1"/>
      <protection locked="0"/>
    </xf>
    <xf numFmtId="0" fontId="9" fillId="0" borderId="0" xfId="0" applyFont="1" applyAlignment="1">
      <alignment horizontal="center" vertical="top" wrapText="1"/>
    </xf>
    <xf numFmtId="0" fontId="9" fillId="0" borderId="0" xfId="0" applyFont="1" applyAlignment="1">
      <alignment horizontal="center" vertical="top"/>
    </xf>
    <xf numFmtId="0" fontId="0" fillId="8" borderId="47" xfId="0" applyFill="1" applyBorder="1" applyAlignment="1">
      <alignment horizontal="left" vertical="top"/>
    </xf>
    <xf numFmtId="0" fontId="0" fillId="8" borderId="48" xfId="0" applyFill="1" applyBorder="1" applyAlignment="1">
      <alignment horizontal="left" vertical="top"/>
    </xf>
    <xf numFmtId="0" fontId="0" fillId="0" borderId="97" xfId="0" applyBorder="1" applyAlignment="1" applyProtection="1">
      <alignment horizontal="left" vertical="top"/>
      <protection locked="0"/>
    </xf>
    <xf numFmtId="0" fontId="0" fillId="0" borderId="98" xfId="0" applyBorder="1" applyAlignment="1" applyProtection="1">
      <alignment horizontal="left" vertical="top"/>
      <protection locked="0"/>
    </xf>
    <xf numFmtId="0" fontId="0" fillId="0" borderId="99" xfId="0" applyBorder="1" applyAlignment="1" applyProtection="1">
      <alignment horizontal="left" vertical="top"/>
      <protection locked="0"/>
    </xf>
    <xf numFmtId="0" fontId="0" fillId="0" borderId="103" xfId="0" applyBorder="1" applyAlignment="1" applyProtection="1">
      <alignment horizontal="left" vertical="top" wrapText="1"/>
      <protection locked="0"/>
    </xf>
    <xf numFmtId="0" fontId="0" fillId="0" borderId="104" xfId="0" applyBorder="1" applyAlignment="1" applyProtection="1">
      <alignment horizontal="left" vertical="top" wrapText="1"/>
      <protection locked="0"/>
    </xf>
    <xf numFmtId="0" fontId="0" fillId="0" borderId="105" xfId="0" applyBorder="1" applyAlignment="1" applyProtection="1">
      <alignment horizontal="left" vertical="top" wrapText="1"/>
      <protection locked="0"/>
    </xf>
    <xf numFmtId="0" fontId="0" fillId="8" borderId="47" xfId="0" applyFill="1" applyBorder="1" applyAlignment="1">
      <alignment horizontal="center" vertical="top"/>
    </xf>
    <xf numFmtId="0" fontId="0" fillId="8" borderId="48" xfId="0" applyFill="1" applyBorder="1" applyAlignment="1">
      <alignment horizontal="center" vertical="top"/>
    </xf>
    <xf numFmtId="0" fontId="0" fillId="0" borderId="100" xfId="0" applyBorder="1" applyAlignment="1" applyProtection="1">
      <alignment horizontal="left" vertical="top"/>
      <protection locked="0"/>
    </xf>
    <xf numFmtId="0" fontId="0" fillId="0" borderId="101" xfId="0" applyBorder="1" applyAlignment="1" applyProtection="1">
      <alignment horizontal="left" vertical="top"/>
      <protection locked="0"/>
    </xf>
    <xf numFmtId="0" fontId="0" fillId="0" borderId="102" xfId="0" applyBorder="1" applyAlignment="1" applyProtection="1">
      <alignment horizontal="left" vertical="top"/>
      <protection locked="0"/>
    </xf>
    <xf numFmtId="0" fontId="34" fillId="0" borderId="103" xfId="7" applyBorder="1" applyAlignment="1" applyProtection="1">
      <alignment horizontal="left" vertical="top"/>
      <protection locked="0"/>
    </xf>
    <xf numFmtId="0" fontId="0" fillId="0" borderId="104" xfId="0" applyBorder="1" applyAlignment="1" applyProtection="1">
      <alignment horizontal="left" vertical="top"/>
      <protection locked="0"/>
    </xf>
    <xf numFmtId="0" fontId="0" fillId="0" borderId="105" xfId="0" applyBorder="1" applyAlignment="1" applyProtection="1">
      <alignment horizontal="left" vertical="top"/>
      <protection locked="0"/>
    </xf>
    <xf numFmtId="0" fontId="0" fillId="15" borderId="103" xfId="0" applyFill="1" applyBorder="1" applyAlignment="1">
      <alignment horizontal="left" vertical="top" wrapText="1"/>
    </xf>
    <xf numFmtId="0" fontId="0" fillId="15" borderId="104" xfId="0" applyFill="1" applyBorder="1" applyAlignment="1">
      <alignment horizontal="left" vertical="top" wrapText="1"/>
    </xf>
    <xf numFmtId="0" fontId="0" fillId="15" borderId="105" xfId="0" applyFill="1" applyBorder="1" applyAlignment="1">
      <alignment horizontal="left" vertical="top" wrapText="1"/>
    </xf>
    <xf numFmtId="0" fontId="0" fillId="0" borderId="96" xfId="0" applyBorder="1" applyAlignment="1" applyProtection="1">
      <alignment horizontal="left" vertical="top" wrapText="1"/>
      <protection locked="0"/>
    </xf>
    <xf numFmtId="0" fontId="7" fillId="0" borderId="97" xfId="0" applyFont="1" applyBorder="1" applyAlignment="1" applyProtection="1">
      <alignment horizontal="left" vertical="top" wrapText="1"/>
      <protection locked="0"/>
    </xf>
    <xf numFmtId="0" fontId="7" fillId="0" borderId="98" xfId="0" applyFont="1" applyBorder="1" applyAlignment="1" applyProtection="1">
      <alignment horizontal="left" vertical="top" wrapText="1"/>
      <protection locked="0"/>
    </xf>
    <xf numFmtId="0" fontId="7" fillId="0" borderId="99" xfId="0" applyFont="1" applyBorder="1" applyAlignment="1" applyProtection="1">
      <alignment horizontal="left" vertical="top" wrapText="1"/>
      <protection locked="0"/>
    </xf>
    <xf numFmtId="0" fontId="6" fillId="8" borderId="49" xfId="0" applyFont="1" applyFill="1" applyBorder="1" applyAlignment="1">
      <alignment horizontal="left" vertical="top" wrapText="1"/>
    </xf>
    <xf numFmtId="0" fontId="6" fillId="8" borderId="0" xfId="0" applyFont="1" applyFill="1" applyAlignment="1">
      <alignment horizontal="left" vertical="top" wrapText="1"/>
    </xf>
    <xf numFmtId="0" fontId="6" fillId="8" borderId="66" xfId="0" applyFont="1" applyFill="1" applyBorder="1" applyAlignment="1">
      <alignment horizontal="left" vertical="top" wrapText="1"/>
    </xf>
    <xf numFmtId="0" fontId="0" fillId="15" borderId="100" xfId="0" applyFill="1" applyBorder="1" applyAlignment="1">
      <alignment horizontal="left" vertical="top" wrapText="1"/>
    </xf>
    <xf numFmtId="0" fontId="0" fillId="15" borderId="101" xfId="0" applyFill="1" applyBorder="1" applyAlignment="1">
      <alignment horizontal="left" vertical="top" wrapText="1"/>
    </xf>
    <xf numFmtId="0" fontId="0" fillId="15" borderId="102" xfId="0" applyFill="1" applyBorder="1" applyAlignment="1">
      <alignment horizontal="left" vertical="top" wrapText="1"/>
    </xf>
    <xf numFmtId="0" fontId="0" fillId="8" borderId="44" xfId="0" applyFill="1" applyBorder="1" applyAlignment="1">
      <alignment horizontal="center" vertical="top" wrapText="1"/>
    </xf>
    <xf numFmtId="0" fontId="0" fillId="15" borderId="97" xfId="0" applyFill="1" applyBorder="1" applyAlignment="1">
      <alignment horizontal="left" vertical="top" wrapText="1"/>
    </xf>
    <xf numFmtId="0" fontId="0" fillId="15" borderId="98" xfId="0" applyFill="1" applyBorder="1" applyAlignment="1">
      <alignment horizontal="left" vertical="top" wrapText="1"/>
    </xf>
    <xf numFmtId="0" fontId="0" fillId="15" borderId="99" xfId="0" applyFill="1" applyBorder="1" applyAlignment="1">
      <alignment horizontal="left" vertical="top" wrapText="1"/>
    </xf>
    <xf numFmtId="0" fontId="0" fillId="8" borderId="44" xfId="0" applyFill="1" applyBorder="1" applyAlignment="1">
      <alignment horizontal="left" vertical="top"/>
    </xf>
    <xf numFmtId="0" fontId="0" fillId="8" borderId="45" xfId="0" applyFill="1" applyBorder="1" applyAlignment="1">
      <alignment horizontal="left" vertical="top"/>
    </xf>
    <xf numFmtId="0" fontId="7" fillId="15" borderId="106" xfId="0" applyFont="1" applyFill="1" applyBorder="1" applyAlignment="1">
      <alignment horizontal="left" vertical="top" wrapText="1"/>
    </xf>
    <xf numFmtId="0" fontId="0" fillId="15" borderId="43" xfId="0" applyFill="1" applyBorder="1" applyAlignment="1">
      <alignment horizontal="left" vertical="top" wrapText="1"/>
    </xf>
    <xf numFmtId="0" fontId="0" fillId="15" borderId="44" xfId="0" applyFill="1" applyBorder="1" applyAlignment="1">
      <alignment horizontal="left" vertical="top" wrapText="1"/>
    </xf>
    <xf numFmtId="0" fontId="0" fillId="15" borderId="45" xfId="0" applyFill="1" applyBorder="1" applyAlignment="1">
      <alignment horizontal="left" vertical="top" wrapText="1"/>
    </xf>
    <xf numFmtId="0" fontId="3" fillId="2" borderId="1" xfId="3" applyFont="1" applyBorder="1" applyAlignment="1">
      <alignment horizontal="left" vertical="center" wrapText="1"/>
    </xf>
    <xf numFmtId="0" fontId="3" fillId="2" borderId="8" xfId="3" applyFont="1" applyBorder="1" applyAlignment="1">
      <alignment horizontal="left" vertical="center" wrapText="1"/>
    </xf>
    <xf numFmtId="0" fontId="3" fillId="2" borderId="4" xfId="3" applyFont="1" applyBorder="1" applyAlignment="1">
      <alignment horizontal="left" vertical="center" wrapText="1"/>
    </xf>
    <xf numFmtId="0" fontId="3" fillId="2" borderId="9" xfId="3" applyFont="1" applyBorder="1" applyAlignment="1">
      <alignment horizontal="left" vertical="center" wrapText="1"/>
    </xf>
    <xf numFmtId="0" fontId="6" fillId="2" borderId="20" xfId="3" applyBorder="1" applyAlignment="1">
      <alignment horizontal="center" vertical="center" wrapText="1"/>
    </xf>
    <xf numFmtId="0" fontId="6" fillId="2" borderId="35" xfId="3" applyBorder="1" applyAlignment="1">
      <alignment horizontal="center" vertical="center" wrapText="1"/>
    </xf>
    <xf numFmtId="0" fontId="6" fillId="8" borderId="13" xfId="5" applyFill="1" applyBorder="1" applyAlignment="1">
      <alignment horizontal="center" vertical="center" wrapText="1"/>
    </xf>
    <xf numFmtId="0" fontId="6" fillId="8" borderId="34" xfId="5" applyFill="1" applyBorder="1" applyAlignment="1">
      <alignment horizontal="center" vertical="center" wrapText="1"/>
    </xf>
    <xf numFmtId="0" fontId="3" fillId="2" borderId="17" xfId="3" applyFont="1" applyBorder="1" applyAlignment="1">
      <alignment horizontal="center" vertical="center" wrapText="1"/>
    </xf>
    <xf numFmtId="0" fontId="3" fillId="2" borderId="55" xfId="3" applyFont="1" applyBorder="1" applyAlignment="1">
      <alignment horizontal="center" vertical="center" wrapText="1"/>
    </xf>
    <xf numFmtId="0" fontId="3" fillId="2" borderId="15" xfId="3" applyFont="1" applyBorder="1" applyAlignment="1">
      <alignment horizontal="center" vertical="center" wrapText="1"/>
    </xf>
    <xf numFmtId="0" fontId="3" fillId="2" borderId="40" xfId="3" applyFont="1" applyBorder="1" applyAlignment="1">
      <alignment horizontal="center" vertical="center" wrapText="1"/>
    </xf>
    <xf numFmtId="0" fontId="3" fillId="2" borderId="41" xfId="3" applyFont="1" applyBorder="1" applyAlignment="1">
      <alignment horizontal="center" vertical="center" wrapText="1"/>
    </xf>
    <xf numFmtId="0" fontId="3" fillId="2" borderId="42" xfId="3" applyFont="1" applyBorder="1" applyAlignment="1">
      <alignment horizontal="center" vertical="center" wrapText="1"/>
    </xf>
    <xf numFmtId="0" fontId="6" fillId="10" borderId="57" xfId="0" applyFont="1" applyFill="1" applyBorder="1" applyAlignment="1">
      <alignment horizontal="center" vertical="center" wrapText="1"/>
    </xf>
    <xf numFmtId="0" fontId="3" fillId="2" borderId="18" xfId="3" applyFont="1" applyBorder="1" applyAlignment="1">
      <alignment horizontal="center" vertical="center" wrapText="1"/>
    </xf>
    <xf numFmtId="0" fontId="3" fillId="2" borderId="33" xfId="3" applyFont="1" applyBorder="1" applyAlignment="1">
      <alignment horizontal="center" vertical="center" wrapText="1"/>
    </xf>
    <xf numFmtId="0" fontId="6" fillId="8" borderId="38" xfId="5" applyFill="1" applyBorder="1" applyAlignment="1">
      <alignment horizontal="center" vertical="center" wrapText="1"/>
    </xf>
    <xf numFmtId="0" fontId="6" fillId="8" borderId="88" xfId="5" applyFill="1" applyBorder="1" applyAlignment="1">
      <alignment horizontal="center" vertical="center" wrapText="1"/>
    </xf>
    <xf numFmtId="0" fontId="6" fillId="8" borderId="39" xfId="5" applyFill="1" applyBorder="1" applyAlignment="1">
      <alignment horizontal="center" vertical="center" wrapText="1"/>
    </xf>
    <xf numFmtId="0" fontId="3" fillId="2" borderId="37" xfId="3" applyFont="1" applyBorder="1" applyAlignment="1">
      <alignment horizontal="center" vertical="center" wrapText="1"/>
    </xf>
    <xf numFmtId="0" fontId="3" fillId="2" borderId="36" xfId="3" applyFont="1" applyBorder="1" applyAlignment="1">
      <alignment horizontal="center" vertical="center" wrapText="1"/>
    </xf>
    <xf numFmtId="0" fontId="3" fillId="2" borderId="14" xfId="3" applyFont="1" applyBorder="1" applyAlignment="1">
      <alignment horizontal="center" vertical="center" wrapText="1"/>
    </xf>
    <xf numFmtId="0" fontId="3" fillId="2" borderId="19" xfId="3" applyFont="1" applyBorder="1" applyAlignment="1">
      <alignment horizontal="center" vertical="center" wrapText="1"/>
    </xf>
    <xf numFmtId="0" fontId="3" fillId="2" borderId="38" xfId="3" applyFont="1" applyBorder="1" applyAlignment="1">
      <alignment horizontal="center" vertical="center" wrapText="1"/>
    </xf>
    <xf numFmtId="0" fontId="3" fillId="2" borderId="39" xfId="3" applyFont="1" applyBorder="1" applyAlignment="1">
      <alignment horizontal="center" vertical="center" wrapText="1"/>
    </xf>
    <xf numFmtId="166" fontId="3" fillId="2" borderId="20" xfId="1" applyNumberFormat="1" applyFont="1" applyFill="1" applyBorder="1" applyAlignment="1">
      <alignment horizontal="center" vertical="center" wrapText="1"/>
    </xf>
    <xf numFmtId="166" fontId="3" fillId="2" borderId="35" xfId="1" applyNumberFormat="1" applyFont="1" applyFill="1" applyBorder="1" applyAlignment="1">
      <alignment horizontal="center" vertical="center" wrapText="1"/>
    </xf>
    <xf numFmtId="0" fontId="6" fillId="10" borderId="58" xfId="0" applyFont="1" applyFill="1" applyBorder="1" applyAlignment="1">
      <alignment horizontal="center" vertical="center" wrapText="1"/>
    </xf>
    <xf numFmtId="0" fontId="3" fillId="2" borderId="34" xfId="3" applyFont="1" applyBorder="1" applyAlignment="1">
      <alignment horizontal="center" vertical="center" wrapText="1"/>
    </xf>
    <xf numFmtId="0" fontId="0" fillId="0" borderId="59" xfId="0" applyBorder="1" applyAlignment="1" applyProtection="1">
      <alignment horizontal="left" vertical="top" wrapText="1"/>
      <protection locked="0"/>
    </xf>
    <xf numFmtId="0" fontId="3" fillId="2" borderId="65" xfId="3" applyFont="1" applyBorder="1" applyAlignment="1">
      <alignment horizontal="center" vertical="center" wrapText="1"/>
    </xf>
    <xf numFmtId="0" fontId="3" fillId="2" borderId="64" xfId="3" applyFont="1" applyBorder="1" applyAlignment="1">
      <alignment horizontal="center" vertical="center" wrapText="1"/>
    </xf>
    <xf numFmtId="0" fontId="3" fillId="2" borderId="63" xfId="3" applyFont="1" applyBorder="1" applyAlignment="1">
      <alignment horizontal="center" vertical="center" wrapText="1"/>
    </xf>
    <xf numFmtId="166" fontId="3" fillId="2" borderId="89" xfId="1" applyNumberFormat="1" applyFont="1" applyFill="1" applyBorder="1" applyAlignment="1">
      <alignment horizontal="center" vertical="center" wrapText="1"/>
    </xf>
    <xf numFmtId="166" fontId="3" fillId="2" borderId="5" xfId="1" applyNumberFormat="1" applyFont="1" applyFill="1" applyBorder="1" applyAlignment="1">
      <alignment horizontal="center" vertical="center" wrapText="1"/>
    </xf>
    <xf numFmtId="0" fontId="25" fillId="0" borderId="62" xfId="0" applyFont="1" applyBorder="1" applyAlignment="1">
      <alignment horizontal="left" vertical="center" wrapText="1"/>
    </xf>
    <xf numFmtId="166" fontId="3" fillId="2" borderId="13" xfId="1" applyNumberFormat="1" applyFont="1" applyFill="1" applyBorder="1" applyAlignment="1">
      <alignment horizontal="center" vertical="center" wrapText="1"/>
    </xf>
    <xf numFmtId="166" fontId="3" fillId="2" borderId="34" xfId="1" applyNumberFormat="1" applyFont="1" applyFill="1" applyBorder="1" applyAlignment="1">
      <alignment horizontal="center" vertical="center" wrapText="1"/>
    </xf>
    <xf numFmtId="0" fontId="28" fillId="13" borderId="67" xfId="0" applyFont="1" applyFill="1" applyBorder="1" applyAlignment="1">
      <alignment horizontal="left" wrapText="1"/>
    </xf>
    <xf numFmtId="0" fontId="28" fillId="13" borderId="68" xfId="0" applyFont="1" applyFill="1" applyBorder="1" applyAlignment="1">
      <alignment horizontal="left" wrapText="1"/>
    </xf>
    <xf numFmtId="0" fontId="28" fillId="13" borderId="69" xfId="0" applyFont="1" applyFill="1" applyBorder="1" applyAlignment="1">
      <alignment horizontal="left" wrapText="1"/>
    </xf>
    <xf numFmtId="0" fontId="28" fillId="13" borderId="70" xfId="0" applyFont="1" applyFill="1" applyBorder="1" applyAlignment="1">
      <alignment horizontal="left" wrapText="1"/>
    </xf>
    <xf numFmtId="0" fontId="28" fillId="13" borderId="0" xfId="0" applyFont="1" applyFill="1" applyAlignment="1">
      <alignment horizontal="left" wrapText="1"/>
    </xf>
    <xf numFmtId="0" fontId="28" fillId="13" borderId="71" xfId="0" applyFont="1" applyFill="1" applyBorder="1" applyAlignment="1">
      <alignment horizontal="left" wrapText="1"/>
    </xf>
    <xf numFmtId="0" fontId="28" fillId="13" borderId="72" xfId="0" applyFont="1" applyFill="1" applyBorder="1" applyAlignment="1">
      <alignment horizontal="left" wrapText="1"/>
    </xf>
    <xf numFmtId="0" fontId="28" fillId="13" borderId="73" xfId="0" applyFont="1" applyFill="1" applyBorder="1" applyAlignment="1">
      <alignment horizontal="left" wrapText="1"/>
    </xf>
    <xf numFmtId="0" fontId="28" fillId="13" borderId="74" xfId="0" applyFont="1" applyFill="1" applyBorder="1" applyAlignment="1">
      <alignment horizontal="left" wrapText="1"/>
    </xf>
    <xf numFmtId="0" fontId="6" fillId="11" borderId="60" xfId="0" applyFont="1" applyFill="1" applyBorder="1" applyAlignment="1">
      <alignment horizontal="center" vertical="center" wrapText="1"/>
    </xf>
    <xf numFmtId="0" fontId="6" fillId="11" borderId="61" xfId="0" applyFont="1" applyFill="1" applyBorder="1" applyAlignment="1">
      <alignment horizontal="center" vertical="center" wrapText="1"/>
    </xf>
    <xf numFmtId="0" fontId="3" fillId="2" borderId="1" xfId="3" applyFont="1" applyBorder="1" applyAlignment="1">
      <alignment horizontal="center" vertical="top" wrapText="1"/>
    </xf>
    <xf numFmtId="0" fontId="3" fillId="2" borderId="8" xfId="3" applyFont="1" applyBorder="1" applyAlignment="1">
      <alignment horizontal="center" vertical="top" wrapText="1"/>
    </xf>
    <xf numFmtId="0" fontId="3" fillId="2" borderId="4" xfId="3" applyFont="1" applyBorder="1" applyAlignment="1">
      <alignment horizontal="center" vertical="top" wrapText="1"/>
    </xf>
    <xf numFmtId="0" fontId="3" fillId="2" borderId="9" xfId="3" applyFont="1" applyBorder="1" applyAlignment="1">
      <alignment horizontal="center" vertical="top" wrapText="1"/>
    </xf>
    <xf numFmtId="0" fontId="3" fillId="2" borderId="17" xfId="3" applyFont="1" applyBorder="1" applyAlignment="1">
      <alignment horizontal="center" vertical="top"/>
    </xf>
    <xf numFmtId="0" fontId="3" fillId="2" borderId="18" xfId="3" applyFont="1" applyBorder="1" applyAlignment="1">
      <alignment horizontal="center" vertical="top"/>
    </xf>
    <xf numFmtId="0" fontId="3" fillId="2" borderId="28" xfId="3" applyFont="1" applyBorder="1" applyAlignment="1">
      <alignment horizontal="center" vertical="top"/>
    </xf>
    <xf numFmtId="0" fontId="3" fillId="2" borderId="21" xfId="3" applyFont="1" applyBorder="1" applyAlignment="1">
      <alignment horizontal="center" vertical="top"/>
    </xf>
    <xf numFmtId="0" fontId="3" fillId="2" borderId="2" xfId="3" applyFont="1" applyBorder="1" applyAlignment="1">
      <alignment horizontal="center" vertical="top" wrapText="1"/>
    </xf>
    <xf numFmtId="0" fontId="3" fillId="2" borderId="0" xfId="3" applyFont="1" applyBorder="1" applyAlignment="1">
      <alignment horizontal="center" vertical="top" wrapText="1"/>
    </xf>
    <xf numFmtId="0" fontId="0" fillId="3" borderId="0" xfId="4" applyFont="1" applyAlignment="1">
      <alignment horizontal="left" vertical="top" wrapText="1"/>
    </xf>
    <xf numFmtId="0" fontId="0" fillId="3" borderId="0" xfId="4" applyFont="1" applyAlignment="1">
      <alignment vertical="top" wrapText="1"/>
    </xf>
    <xf numFmtId="0" fontId="3" fillId="2" borderId="19" xfId="3" applyFont="1" applyBorder="1" applyAlignment="1">
      <alignment horizontal="center" vertical="top"/>
    </xf>
    <xf numFmtId="166" fontId="0" fillId="0" borderId="31" xfId="1" applyNumberFormat="1" applyFont="1" applyFill="1" applyBorder="1" applyAlignment="1" applyProtection="1">
      <alignment horizontal="right" indent="2"/>
      <protection locked="0"/>
    </xf>
    <xf numFmtId="166" fontId="0" fillId="0" borderId="24" xfId="1" applyNumberFormat="1" applyFont="1" applyFill="1" applyBorder="1" applyAlignment="1" applyProtection="1">
      <alignment horizontal="right" indent="2"/>
      <protection locked="0"/>
    </xf>
    <xf numFmtId="166" fontId="0" fillId="0" borderId="22" xfId="1" applyNumberFormat="1" applyFont="1" applyFill="1" applyBorder="1" applyAlignment="1" applyProtection="1">
      <alignment horizontal="right" indent="2"/>
      <protection locked="0"/>
    </xf>
    <xf numFmtId="166" fontId="0" fillId="0" borderId="26" xfId="1" applyNumberFormat="1" applyFont="1" applyFill="1" applyBorder="1" applyAlignment="1" applyProtection="1">
      <alignment horizontal="right" indent="2"/>
      <protection locked="0"/>
    </xf>
    <xf numFmtId="0" fontId="8" fillId="16" borderId="22" xfId="5" applyFont="1" applyFill="1" applyBorder="1" applyAlignment="1">
      <alignment horizontal="center"/>
    </xf>
    <xf numFmtId="0" fontId="8" fillId="16" borderId="23" xfId="5" applyFont="1" applyFill="1" applyBorder="1" applyAlignment="1">
      <alignment horizontal="center"/>
    </xf>
    <xf numFmtId="0" fontId="8" fillId="16" borderId="31" xfId="5" applyFont="1" applyFill="1" applyBorder="1" applyAlignment="1">
      <alignment horizontal="center"/>
    </xf>
    <xf numFmtId="0" fontId="8" fillId="16" borderId="24" xfId="5" applyFont="1" applyFill="1" applyBorder="1" applyAlignment="1">
      <alignment horizontal="center"/>
    </xf>
    <xf numFmtId="0" fontId="4" fillId="17" borderId="100" xfId="0" applyFont="1" applyFill="1" applyBorder="1" applyAlignment="1" applyProtection="1">
      <alignment horizontal="left" vertical="top" wrapText="1"/>
      <protection locked="0"/>
    </xf>
    <xf numFmtId="0" fontId="4" fillId="17" borderId="101" xfId="0" applyFont="1" applyFill="1" applyBorder="1" applyAlignment="1" applyProtection="1">
      <alignment horizontal="left" vertical="top" wrapText="1"/>
      <protection locked="0"/>
    </xf>
    <xf numFmtId="0" fontId="4" fillId="17" borderId="102" xfId="0" applyFont="1" applyFill="1" applyBorder="1" applyAlignment="1" applyProtection="1">
      <alignment horizontal="left" vertical="top" wrapText="1"/>
      <protection locked="0"/>
    </xf>
  </cellXfs>
  <cellStyles count="9">
    <cellStyle name="20% - Accent1" xfId="4" builtinId="30"/>
    <cellStyle name="60% - Accent5" xfId="5" builtinId="48"/>
    <cellStyle name="Accent1" xfId="3" builtinId="29"/>
    <cellStyle name="Bad" xfId="6" builtinId="27"/>
    <cellStyle name="Comma" xfId="1" builtinId="3"/>
    <cellStyle name="Comma 2" xfId="8" xr:uid="{D88F5721-9937-4966-8048-901C435C757E}"/>
    <cellStyle name="Hyperlink" xfId="7" builtinId="8"/>
    <cellStyle name="Normal" xfId="0" builtinId="0"/>
    <cellStyle name="Per cent" xfId="2" builtinId="5"/>
  </cellStyles>
  <dxfs count="19">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s>
  <tableStyles count="0" defaultTableStyle="TableStyleMedium2" defaultPivotStyle="PivotStyleLight16"/>
  <colors>
    <mruColors>
      <color rgb="FFDAEEF3"/>
      <color rgb="FFF8EBC8"/>
      <color rgb="FFF6E6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alphametricsuk.sharepoint.com/sites/AMteams/Shared%20Documents/General/YG%20&amp;%20LTU/1.%20YG/YG%202026/Data%20collection/Validation/EE/NG%20monotoring%20EST%20&#180;26.xlsx" TargetMode="External"/><Relationship Id="rId1" Type="http://schemas.openxmlformats.org/officeDocument/2006/relationships/externalLinkPath" Target="NG%20monotoring%20EST%20&#18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24"/>
      <sheetName val="2025"/>
      <sheetName val="Exited participant"/>
      <sheetName val="Stock estimations"/>
    </sheetNames>
    <sheetDataSet>
      <sheetData sheetId="0">
        <row r="3">
          <cell r="G3" t="str">
            <v>Gender</v>
          </cell>
        </row>
      </sheetData>
      <sheetData sheetId="1">
        <row r="2">
          <cell r="G2" t="str">
            <v>Gender</v>
          </cell>
        </row>
      </sheetData>
      <sheetData sheetId="2">
        <row r="5">
          <cell r="G5">
            <v>289</v>
          </cell>
        </row>
        <row r="6">
          <cell r="G6">
            <v>147</v>
          </cell>
          <cell r="K6">
            <v>0.84353741496598644</v>
          </cell>
          <cell r="L6">
            <v>7.4829931972789115E-2</v>
          </cell>
          <cell r="M6">
            <v>8.1632653061224483E-2</v>
          </cell>
          <cell r="Q6">
            <v>0</v>
          </cell>
        </row>
        <row r="7">
          <cell r="G7">
            <v>122</v>
          </cell>
          <cell r="K7">
            <v>0.71311475409836067</v>
          </cell>
          <cell r="L7">
            <v>0.10655737704918032</v>
          </cell>
          <cell r="M7">
            <v>9.8360655737704916E-2</v>
          </cell>
          <cell r="Q7">
            <v>0</v>
          </cell>
        </row>
        <row r="8">
          <cell r="G8">
            <v>30</v>
          </cell>
          <cell r="K8">
            <v>0.9</v>
          </cell>
          <cell r="L8">
            <v>6.6666666666666666E-2</v>
          </cell>
          <cell r="M8">
            <v>3.3333333333333333E-2</v>
          </cell>
          <cell r="Q8">
            <v>0</v>
          </cell>
        </row>
        <row r="10">
          <cell r="G10">
            <v>253</v>
          </cell>
        </row>
        <row r="11">
          <cell r="G11">
            <v>131</v>
          </cell>
          <cell r="K11">
            <v>0.80916030534351147</v>
          </cell>
          <cell r="L11">
            <v>6.1068702290076333E-2</v>
          </cell>
          <cell r="M11">
            <v>9.1603053435114504E-2</v>
          </cell>
          <cell r="Q11">
            <v>3.8167938931297711E-2</v>
          </cell>
        </row>
        <row r="12">
          <cell r="G12">
            <v>81</v>
          </cell>
          <cell r="K12">
            <v>0.83950617283950613</v>
          </cell>
          <cell r="L12">
            <v>8.6419753086419748E-2</v>
          </cell>
          <cell r="M12">
            <v>6.1728395061728392E-2</v>
          </cell>
          <cell r="Q12">
            <v>1.2345679012345678E-2</v>
          </cell>
        </row>
        <row r="13">
          <cell r="G13">
            <v>38</v>
          </cell>
          <cell r="K13">
            <v>0.84210526315789469</v>
          </cell>
          <cell r="L13">
            <v>7.8947368421052627E-2</v>
          </cell>
          <cell r="M13">
            <v>7.8947368421052627E-2</v>
          </cell>
          <cell r="Q13">
            <v>0</v>
          </cell>
        </row>
        <row r="22">
          <cell r="K22">
            <v>0.53947368421052633</v>
          </cell>
          <cell r="L22">
            <v>0.10526315789473684</v>
          </cell>
          <cell r="M22">
            <v>0.25</v>
          </cell>
          <cell r="Q22">
            <v>0.10526315789473684</v>
          </cell>
        </row>
        <row r="23">
          <cell r="K23">
            <v>0.51941747572815533</v>
          </cell>
          <cell r="L23">
            <v>0.1553398058252427</v>
          </cell>
          <cell r="M23">
            <v>0.23300970873786409</v>
          </cell>
          <cell r="Q23">
            <v>9.2233009708737865E-2</v>
          </cell>
        </row>
        <row r="24">
          <cell r="K24">
            <v>0.72463768115942029</v>
          </cell>
          <cell r="L24">
            <v>4.3478260869565216E-2</v>
          </cell>
          <cell r="M24">
            <v>0.2318840579710145</v>
          </cell>
          <cell r="Q24">
            <v>0</v>
          </cell>
        </row>
        <row r="27">
          <cell r="K27">
            <v>0.56275303643724695</v>
          </cell>
          <cell r="L27">
            <v>0.13360323886639677</v>
          </cell>
          <cell r="M27">
            <v>0.22267206477732793</v>
          </cell>
          <cell r="Q27">
            <v>8.0971659919028341E-2</v>
          </cell>
        </row>
        <row r="28">
          <cell r="K28">
            <v>0.5957446808510638</v>
          </cell>
          <cell r="L28">
            <v>0.13475177304964539</v>
          </cell>
          <cell r="M28">
            <v>0.19148936170212766</v>
          </cell>
          <cell r="Q28">
            <v>7.8014184397163122E-2</v>
          </cell>
        </row>
        <row r="29">
          <cell r="K29">
            <v>0.60655737704918034</v>
          </cell>
          <cell r="L29">
            <v>0.13114754098360656</v>
          </cell>
          <cell r="M29">
            <v>0.18032786885245902</v>
          </cell>
          <cell r="Q29">
            <v>8.1967213114754092E-2</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ebgate.ec.europa.eu/circabc-ewpp/ui/group/bab664d7-1188-47b2-9fa6-869902320ba2/library/51f88f1c-7bd1-44d5-931d-0724ff350e62/details" TargetMode="External"/><Relationship Id="rId1" Type="http://schemas.openxmlformats.org/officeDocument/2006/relationships/hyperlink" Target="https://webgate.ec.europa.eu/circabc-ewpp/ui/group/bab664d7-1188-47b2-9fa6-869902320ba2/library/b5420c8b-9b7f-4595-8f83-d051d2f95637/detai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ebgate.ec.europa.eu/circabc-ewpp/ui/group/bab664d7-1188-47b2-9fa6-869902320ba2/library/b5420c8b-9b7f-4595-8f83-d051d2f95637/detail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gethe.laus@sotsiaalkindlustusamet.e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28"/>
  <sheetViews>
    <sheetView workbookViewId="0">
      <selection activeCell="N5" sqref="N5"/>
    </sheetView>
  </sheetViews>
  <sheetFormatPr defaultColWidth="9.1796875" defaultRowHeight="14.5" x14ac:dyDescent="0.35"/>
  <cols>
    <col min="1" max="1" width="1.81640625" customWidth="1"/>
    <col min="2" max="2" width="13.1796875" customWidth="1"/>
  </cols>
  <sheetData>
    <row r="1" spans="1:3" s="11" customFormat="1" ht="18.5" x14ac:dyDescent="0.45">
      <c r="A1" s="12" t="s">
        <v>218</v>
      </c>
    </row>
    <row r="3" spans="1:3" x14ac:dyDescent="0.35">
      <c r="A3" s="26" t="s">
        <v>48</v>
      </c>
    </row>
    <row r="4" spans="1:3" x14ac:dyDescent="0.35">
      <c r="A4" t="s">
        <v>49</v>
      </c>
    </row>
    <row r="5" spans="1:3" x14ac:dyDescent="0.35">
      <c r="B5" s="227" t="s">
        <v>50</v>
      </c>
      <c r="C5" t="s">
        <v>55</v>
      </c>
    </row>
    <row r="6" spans="1:3" x14ac:dyDescent="0.35">
      <c r="B6" s="227" t="s">
        <v>0</v>
      </c>
      <c r="C6" t="s">
        <v>56</v>
      </c>
    </row>
    <row r="7" spans="1:3" x14ac:dyDescent="0.35">
      <c r="B7" s="226" t="s">
        <v>222</v>
      </c>
      <c r="C7" t="s">
        <v>258</v>
      </c>
    </row>
    <row r="8" spans="1:3" x14ac:dyDescent="0.35">
      <c r="B8" s="226" t="s">
        <v>51</v>
      </c>
      <c r="C8" t="s">
        <v>183</v>
      </c>
    </row>
    <row r="9" spans="1:3" x14ac:dyDescent="0.35">
      <c r="B9" s="226" t="s">
        <v>14</v>
      </c>
      <c r="C9" t="s">
        <v>184</v>
      </c>
    </row>
    <row r="10" spans="1:3" x14ac:dyDescent="0.35">
      <c r="B10" s="226" t="s">
        <v>52</v>
      </c>
      <c r="C10" t="s">
        <v>185</v>
      </c>
    </row>
    <row r="11" spans="1:3" x14ac:dyDescent="0.35">
      <c r="B11" s="226" t="s">
        <v>234</v>
      </c>
      <c r="C11" t="s">
        <v>186</v>
      </c>
    </row>
    <row r="12" spans="1:3" x14ac:dyDescent="0.35">
      <c r="B12" s="226" t="s">
        <v>235</v>
      </c>
      <c r="C12" t="s">
        <v>236</v>
      </c>
    </row>
    <row r="13" spans="1:3" x14ac:dyDescent="0.35">
      <c r="B13" s="226" t="s">
        <v>256</v>
      </c>
      <c r="C13" t="s">
        <v>257</v>
      </c>
    </row>
    <row r="14" spans="1:3" x14ac:dyDescent="0.35">
      <c r="B14" s="226" t="s">
        <v>53</v>
      </c>
      <c r="C14" t="s">
        <v>202</v>
      </c>
    </row>
    <row r="15" spans="1:3" x14ac:dyDescent="0.35">
      <c r="B15" t="s">
        <v>54</v>
      </c>
      <c r="C15" t="s">
        <v>217</v>
      </c>
    </row>
    <row r="16" spans="1:3" x14ac:dyDescent="0.35">
      <c r="B16" t="s">
        <v>58</v>
      </c>
      <c r="C16" t="s">
        <v>319</v>
      </c>
    </row>
    <row r="18" spans="1:19" x14ac:dyDescent="0.35">
      <c r="A18" s="26" t="s">
        <v>57</v>
      </c>
    </row>
    <row r="19" spans="1:19" x14ac:dyDescent="0.35">
      <c r="A19" s="249" t="s">
        <v>602</v>
      </c>
      <c r="B19" s="249"/>
      <c r="C19" s="249"/>
      <c r="D19" s="249"/>
      <c r="E19" s="249"/>
      <c r="F19" s="249"/>
      <c r="G19" s="249"/>
      <c r="H19" s="249"/>
      <c r="I19" s="249"/>
      <c r="J19" s="249"/>
      <c r="K19" s="249"/>
      <c r="L19" s="249"/>
      <c r="M19" s="249"/>
      <c r="N19" s="249"/>
      <c r="O19" s="249"/>
      <c r="P19" s="249"/>
      <c r="Q19" s="249"/>
      <c r="R19" s="249"/>
      <c r="S19" s="249"/>
    </row>
    <row r="20" spans="1:19" x14ac:dyDescent="0.35">
      <c r="A20" s="250" t="s">
        <v>603</v>
      </c>
      <c r="B20" s="250"/>
      <c r="C20" s="250"/>
      <c r="D20" s="250"/>
      <c r="E20" s="250"/>
      <c r="F20" s="250"/>
      <c r="G20" s="250"/>
      <c r="H20" s="250"/>
      <c r="I20" s="250"/>
      <c r="J20" s="250"/>
      <c r="K20" s="250"/>
      <c r="L20" s="250"/>
      <c r="M20" s="250"/>
      <c r="N20" s="250"/>
      <c r="O20" s="250"/>
      <c r="P20" s="250"/>
      <c r="Q20" s="250"/>
      <c r="R20" s="250"/>
      <c r="S20" s="250"/>
    </row>
    <row r="21" spans="1:19" x14ac:dyDescent="0.35">
      <c r="A21" s="251" t="s">
        <v>216</v>
      </c>
      <c r="B21" s="251"/>
      <c r="C21" s="251"/>
      <c r="D21" s="251"/>
      <c r="E21" s="251"/>
      <c r="F21" s="251"/>
      <c r="G21" s="251"/>
      <c r="H21" s="251"/>
      <c r="I21" s="251"/>
      <c r="J21" s="251"/>
      <c r="K21" s="251"/>
      <c r="L21" s="251"/>
      <c r="M21" s="251"/>
      <c r="N21" s="251"/>
      <c r="O21" s="251"/>
      <c r="P21" s="251"/>
      <c r="Q21" s="251"/>
      <c r="R21" s="251"/>
      <c r="S21" s="251"/>
    </row>
    <row r="22" spans="1:19" x14ac:dyDescent="0.35">
      <c r="A22" s="252" t="s">
        <v>604</v>
      </c>
      <c r="B22" s="252"/>
      <c r="C22" s="252"/>
      <c r="D22" s="252"/>
      <c r="E22" s="252"/>
      <c r="F22" s="252"/>
      <c r="G22" s="252"/>
      <c r="H22" s="252"/>
      <c r="I22" s="252"/>
      <c r="J22" s="252"/>
      <c r="K22" s="252"/>
      <c r="L22" s="252"/>
      <c r="M22" s="252"/>
      <c r="N22" s="252"/>
      <c r="O22" s="252"/>
      <c r="P22" s="252"/>
      <c r="Q22" s="252"/>
      <c r="R22" s="252"/>
      <c r="S22" s="252"/>
    </row>
    <row r="23" spans="1:19" x14ac:dyDescent="0.35">
      <c r="A23" s="252" t="s">
        <v>229</v>
      </c>
      <c r="B23" s="252"/>
      <c r="C23" s="252"/>
      <c r="D23" s="252"/>
      <c r="E23" s="252"/>
      <c r="F23" s="252"/>
      <c r="G23" s="252"/>
      <c r="H23" s="252"/>
      <c r="I23" s="252"/>
      <c r="J23" s="252"/>
      <c r="K23" s="252"/>
      <c r="L23" s="252"/>
      <c r="M23" s="252"/>
      <c r="N23" s="252"/>
      <c r="O23" s="252"/>
      <c r="P23" s="252"/>
      <c r="Q23" s="252"/>
      <c r="R23" s="252"/>
      <c r="S23" s="252"/>
    </row>
    <row r="24" spans="1:19" x14ac:dyDescent="0.35">
      <c r="A24" s="252" t="s">
        <v>230</v>
      </c>
      <c r="B24" s="252"/>
      <c r="C24" s="252"/>
      <c r="D24" s="252"/>
      <c r="E24" s="252"/>
      <c r="F24" s="252"/>
      <c r="G24" s="252"/>
      <c r="H24" s="252"/>
      <c r="I24" s="252"/>
      <c r="J24" s="252"/>
      <c r="K24" s="252"/>
      <c r="L24" s="252"/>
      <c r="M24" s="252"/>
      <c r="N24" s="252"/>
      <c r="O24" s="252"/>
      <c r="P24" s="252"/>
      <c r="Q24" s="252"/>
      <c r="R24" s="252"/>
      <c r="S24" s="252"/>
    </row>
    <row r="26" spans="1:19" x14ac:dyDescent="0.35">
      <c r="A26" s="26"/>
    </row>
    <row r="27" spans="1:19" x14ac:dyDescent="0.35">
      <c r="A27" s="248"/>
      <c r="B27" s="248"/>
      <c r="C27" s="248"/>
      <c r="D27" s="248"/>
      <c r="E27" s="248"/>
      <c r="F27" s="248"/>
    </row>
    <row r="28" spans="1:19" x14ac:dyDescent="0.35">
      <c r="A28" s="248"/>
      <c r="B28" s="248"/>
      <c r="C28" s="248"/>
    </row>
  </sheetData>
  <sheetProtection algorithmName="SHA-512" hashValue="q/Aa0S4Ie0Ao5ZG1MnicL9abe1pPjy7TCU6905l6Z5lLE8c/0AAWIPuBrcf/HbIinLsDLrxo6+q4IBzRLRh4Ug==" saltValue="316NS1Zr3h33M7GTQyqK3Q==" spinCount="100000" sheet="1" objects="1" scenarios="1" formatCells="0" formatColumns="0" formatRows="0"/>
  <mergeCells count="8">
    <mergeCell ref="A28:C28"/>
    <mergeCell ref="A27:F27"/>
    <mergeCell ref="A19:S19"/>
    <mergeCell ref="A20:S20"/>
    <mergeCell ref="A21:S21"/>
    <mergeCell ref="A22:S22"/>
    <mergeCell ref="A23:S23"/>
    <mergeCell ref="A24:S24"/>
  </mergeCells>
  <hyperlinks>
    <hyperlink ref="A20" r:id="rId1" display=" - Detailed definitions of the data required are given in the Youth Guarantee methodological manual of the Indicator Framework for Monitoring the Youth Guarantee" xr:uid="{1373DE46-200F-4DAF-B6D4-E9F76B934E40}"/>
    <hyperlink ref="A19" r:id="rId2" display=" - Detailed definitions of the indicators used to monitor the Youth Guarantee are provided in the Youth Guarantee indicator framework" xr:uid="{FD83AD1C-ED99-43C0-96DC-AD56B427851E}"/>
    <hyperlink ref="B5" location="Intro!A1" display="Intro" xr:uid="{33A67E7C-9990-4BB2-BFC9-E0B62C2F5ECF}"/>
    <hyperlink ref="B6" location="Definitions!A1" display="Definitions" xr:uid="{28540241-7049-403F-9D51-10D0F6ACF27E}"/>
    <hyperlink ref="B7" location="Metadata!A1" display="Metadata" xr:uid="{D4CFA6A4-6EE9-4ABB-863C-D65E9834B7DD}"/>
    <hyperlink ref="B8" location="Entrants!A1" display="Entrants" xr:uid="{4373E3AA-0240-4531-8A54-65FFD7DE14E0}"/>
    <hyperlink ref="B9" location="Stocks!A1" display="Stocks" xr:uid="{2CC4A9C1-C71A-4F11-BA6D-88FD8DD68AA3}"/>
    <hyperlink ref="B10" location="Exits!A1" display="Exits" xr:uid="{D899579E-8989-4C42-BB5B-661B0C95A36D}"/>
    <hyperlink ref="B11" location="'Follow-up T'!A1" display="Follow-up T" xr:uid="{57C5D9AA-0406-4732-937B-13AC2994DE78}"/>
    <hyperlink ref="B12" location="'Follow-up T-1'!A1" display="Follow-up T-1" xr:uid="{3873C158-5AAF-4BB3-980D-CD96E0212FD1}"/>
    <hyperlink ref="B13" location="'Follow-up T-2'!A1" display="Follow-up T-2" xr:uid="{6E7D6364-C493-43D7-8651-3C4A9799E728}"/>
    <hyperlink ref="B14" location="Indicators!A1" display="Indicators" xr:uid="{3B7EC567-331F-4B43-BC4A-9192A84015EE}"/>
  </hyperlinks>
  <pageMargins left="0.23622047244094491" right="0.23622047244094491" top="0.74803149606299213" bottom="0.74803149606299213" header="0.31496062992125984" footer="0.31496062992125984"/>
  <pageSetup paperSize="9" orientation="landscape" r:id="rId3"/>
  <headerFooter>
    <oddFooter>&amp;LYG monitoring (pilot)&amp;R&amp;A\&amp;P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K67"/>
  <sheetViews>
    <sheetView zoomScaleNormal="100" workbookViewId="0"/>
  </sheetViews>
  <sheetFormatPr defaultColWidth="9.1796875" defaultRowHeight="14.5" x14ac:dyDescent="0.35"/>
  <cols>
    <col min="1" max="1" width="2.26953125" customWidth="1"/>
    <col min="2" max="2" width="19.7265625" customWidth="1"/>
    <col min="3" max="3" width="9.7265625" customWidth="1"/>
    <col min="4" max="4" width="9.81640625" customWidth="1"/>
    <col min="5" max="5" width="10.1796875" customWidth="1"/>
    <col min="6" max="7" width="10.453125" customWidth="1"/>
    <col min="8" max="8" width="10" customWidth="1"/>
    <col min="9" max="9" width="9.1796875" bestFit="1" customWidth="1"/>
    <col min="10" max="10" width="9.81640625" customWidth="1"/>
    <col min="11" max="11" width="10.26953125" style="31" customWidth="1"/>
    <col min="13" max="13" width="2.26953125" customWidth="1"/>
    <col min="14" max="14" width="19.81640625" customWidth="1"/>
    <col min="15" max="15" width="10.81640625" customWidth="1"/>
    <col min="16" max="16" width="9.81640625" customWidth="1"/>
    <col min="17" max="17" width="10.1796875" customWidth="1"/>
    <col min="18" max="19" width="10.453125" customWidth="1"/>
    <col min="20" max="20" width="10" customWidth="1"/>
    <col min="21" max="21" width="9.1796875" bestFit="1" customWidth="1"/>
    <col min="22" max="22" width="10.1796875" customWidth="1"/>
    <col min="23" max="23" width="10.26953125" style="31" customWidth="1"/>
    <col min="25" max="25" width="2.26953125" customWidth="1"/>
    <col min="26" max="26" width="19.54296875" customWidth="1"/>
    <col min="27" max="27" width="9.7265625" customWidth="1"/>
    <col min="28" max="28" width="9.81640625" customWidth="1"/>
    <col min="29" max="29" width="10.1796875" customWidth="1"/>
    <col min="30" max="30" width="12.54296875" customWidth="1"/>
    <col min="31" max="31" width="14.453125" customWidth="1"/>
    <col min="32" max="32" width="10" customWidth="1"/>
    <col min="33" max="33" width="9.1796875" bestFit="1" customWidth="1"/>
    <col min="34" max="34" width="10.1796875" customWidth="1"/>
    <col min="35" max="35" width="10.26953125" style="31" customWidth="1"/>
    <col min="37" max="37" width="2.26953125" customWidth="1"/>
    <col min="38" max="38" width="20" customWidth="1"/>
    <col min="39" max="39" width="11.453125" customWidth="1"/>
    <col min="40" max="40" width="9.81640625" customWidth="1"/>
    <col min="41" max="41" width="10.1796875" customWidth="1"/>
    <col min="42" max="43" width="10.453125" customWidth="1"/>
    <col min="44" max="44" width="10" customWidth="1"/>
    <col min="45" max="45" width="9.1796875" bestFit="1" customWidth="1"/>
    <col min="46" max="46" width="9.81640625" customWidth="1"/>
    <col min="47" max="47" width="10.26953125" style="31" customWidth="1"/>
    <col min="49" max="49" width="2.26953125" customWidth="1"/>
    <col min="50" max="50" width="19.81640625" customWidth="1"/>
    <col min="51" max="51" width="10.81640625" customWidth="1"/>
    <col min="52" max="52" width="9.81640625" customWidth="1"/>
    <col min="53" max="53" width="10.1796875" customWidth="1"/>
    <col min="54" max="55" width="10.453125" customWidth="1"/>
    <col min="56" max="56" width="10" customWidth="1"/>
    <col min="57" max="57" width="9.1796875" bestFit="1" customWidth="1"/>
    <col min="58" max="58" width="9.81640625" customWidth="1"/>
    <col min="59" max="59" width="10.26953125" style="31" customWidth="1"/>
    <col min="60" max="60" width="3.54296875" customWidth="1"/>
    <col min="61" max="61" width="49.26953125" style="67" customWidth="1"/>
    <col min="62" max="62" width="3.7265625" customWidth="1"/>
    <col min="63" max="63" width="36.54296875" customWidth="1"/>
  </cols>
  <sheetData>
    <row r="1" spans="1:63" s="11" customFormat="1" ht="18.5" x14ac:dyDescent="0.45">
      <c r="A1" s="12" t="s">
        <v>208</v>
      </c>
      <c r="K1" s="30"/>
      <c r="M1" s="12"/>
      <c r="W1" s="30"/>
      <c r="Y1" s="12"/>
      <c r="AI1" s="30"/>
      <c r="AK1" s="12"/>
      <c r="AU1" s="30"/>
      <c r="AW1" s="12"/>
      <c r="BG1" s="30"/>
      <c r="BI1" s="66"/>
    </row>
    <row r="2" spans="1:63" ht="15" thickBot="1" x14ac:dyDescent="0.4">
      <c r="A2" s="1"/>
      <c r="B2" s="63"/>
    </row>
    <row r="3" spans="1:63" ht="18.5" x14ac:dyDescent="0.45">
      <c r="A3" s="94" t="s">
        <v>177</v>
      </c>
      <c r="B3" s="95"/>
      <c r="C3" s="95"/>
      <c r="D3" s="95"/>
      <c r="E3" s="95"/>
      <c r="F3" s="98">
        <f>RefYear_Main</f>
        <v>2025</v>
      </c>
      <c r="G3" s="96"/>
      <c r="H3" s="96"/>
      <c r="I3" s="96"/>
      <c r="J3" s="96"/>
      <c r="K3" s="97"/>
      <c r="M3" s="350" t="s">
        <v>195</v>
      </c>
      <c r="N3" s="351"/>
      <c r="O3" s="351"/>
      <c r="P3" s="351"/>
      <c r="Q3" s="351"/>
      <c r="R3" s="351"/>
      <c r="S3" s="351"/>
      <c r="T3" s="351"/>
      <c r="U3" s="351"/>
      <c r="V3" s="351"/>
      <c r="W3" s="352"/>
      <c r="BH3" s="90"/>
      <c r="BI3" s="90"/>
    </row>
    <row r="4" spans="1:63" ht="18.5" x14ac:dyDescent="0.45">
      <c r="A4" s="135" t="s">
        <v>221</v>
      </c>
      <c r="B4" s="76"/>
      <c r="C4" s="76"/>
      <c r="D4" s="76"/>
      <c r="E4" s="76"/>
      <c r="F4" s="76"/>
      <c r="G4" s="76"/>
      <c r="H4" s="76"/>
      <c r="I4" s="76"/>
      <c r="J4" s="76"/>
      <c r="K4" s="78"/>
      <c r="M4" s="353"/>
      <c r="N4" s="354"/>
      <c r="O4" s="354"/>
      <c r="P4" s="354"/>
      <c r="Q4" s="354"/>
      <c r="R4" s="354"/>
      <c r="S4" s="354"/>
      <c r="T4" s="354"/>
      <c r="U4" s="354"/>
      <c r="V4" s="354"/>
      <c r="W4" s="355"/>
      <c r="BH4" s="90"/>
      <c r="BI4" s="90"/>
    </row>
    <row r="5" spans="1:63" ht="18.5" x14ac:dyDescent="0.45">
      <c r="A5" s="77"/>
      <c r="B5" s="76" t="s">
        <v>178</v>
      </c>
      <c r="C5" s="158" t="str">
        <f ca="1">IF(12*(YEAR(NOW())-$F$3)+MONTH(NOW())&lt;7,"Partial (some ""Not applicable"")","Yes")</f>
        <v>Yes</v>
      </c>
      <c r="D5" s="76"/>
      <c r="E5" s="76"/>
      <c r="F5" s="76"/>
      <c r="G5" s="76"/>
      <c r="H5" s="76"/>
      <c r="I5" s="76"/>
      <c r="J5" s="76"/>
      <c r="K5" s="78"/>
      <c r="M5" s="353"/>
      <c r="N5" s="354"/>
      <c r="O5" s="354"/>
      <c r="P5" s="354"/>
      <c r="Q5" s="354"/>
      <c r="R5" s="354"/>
      <c r="S5" s="354"/>
      <c r="T5" s="354"/>
      <c r="U5" s="354"/>
      <c r="V5" s="354"/>
      <c r="W5" s="355"/>
      <c r="BH5" s="90"/>
      <c r="BI5" s="90"/>
    </row>
    <row r="6" spans="1:63" x14ac:dyDescent="0.35">
      <c r="A6" s="77"/>
      <c r="B6" s="76" t="s">
        <v>179</v>
      </c>
      <c r="C6" s="158" t="str">
        <f ca="1">IF(12*(YEAR(NOW())-$F$3)+MONTH(NOW())&lt;13,"No", IF(12*(YEAR(NOW())-$F$3)+MONTH(NOW())&lt;25,"Partial (some ""Not applicable"")","Yes"))</f>
        <v>Partial (some "Not applicable")</v>
      </c>
      <c r="D6" s="76"/>
      <c r="E6" s="76"/>
      <c r="F6" s="76"/>
      <c r="G6" s="76"/>
      <c r="H6" s="76"/>
      <c r="I6" s="76"/>
      <c r="J6" s="76"/>
      <c r="K6" s="78"/>
      <c r="M6" s="353"/>
      <c r="N6" s="354"/>
      <c r="O6" s="354"/>
      <c r="P6" s="354"/>
      <c r="Q6" s="354"/>
      <c r="R6" s="354"/>
      <c r="S6" s="354"/>
      <c r="T6" s="354"/>
      <c r="U6" s="354"/>
      <c r="V6" s="354"/>
      <c r="W6" s="355"/>
    </row>
    <row r="7" spans="1:63" ht="15" thickBot="1" x14ac:dyDescent="0.4">
      <c r="A7" s="79"/>
      <c r="B7" s="80" t="s">
        <v>180</v>
      </c>
      <c r="C7" s="157" t="str">
        <f ca="1">IF(12*(YEAR(NOW())-$F$3)+MONTH(NOW())&lt;19,"No", IF(12*(YEAR(NOW())-$F$3)+MONTH(NOW())&lt;31,"Partial (some ""Not applicable"")","Yes"))</f>
        <v>Partial (some "Not applicable")</v>
      </c>
      <c r="D7" s="80"/>
      <c r="E7" s="80"/>
      <c r="F7" s="80"/>
      <c r="G7" s="80"/>
      <c r="H7" s="80"/>
      <c r="I7" s="80"/>
      <c r="J7" s="80"/>
      <c r="K7" s="81"/>
      <c r="M7" s="356"/>
      <c r="N7" s="357"/>
      <c r="O7" s="357"/>
      <c r="P7" s="357"/>
      <c r="Q7" s="357"/>
      <c r="R7" s="357"/>
      <c r="S7" s="357"/>
      <c r="T7" s="357"/>
      <c r="U7" s="357"/>
      <c r="V7" s="357"/>
      <c r="W7" s="358"/>
      <c r="BH7" s="18"/>
    </row>
    <row r="8" spans="1:63" ht="15" thickBot="1" x14ac:dyDescent="0.4">
      <c r="A8" s="138"/>
      <c r="B8" s="138"/>
      <c r="C8" s="143"/>
      <c r="D8" s="138"/>
      <c r="E8" s="138"/>
      <c r="F8" s="138"/>
      <c r="G8" s="138"/>
      <c r="H8" s="138"/>
      <c r="I8" s="138"/>
      <c r="J8" s="138"/>
      <c r="K8" s="144"/>
      <c r="M8" s="145"/>
      <c r="N8" s="145"/>
      <c r="O8" s="145"/>
      <c r="P8" s="145"/>
      <c r="Q8" s="145"/>
      <c r="R8" s="145"/>
      <c r="S8" s="145"/>
      <c r="T8" s="145"/>
      <c r="U8" s="145"/>
      <c r="V8" s="145"/>
      <c r="W8" s="145"/>
      <c r="AI8" s="146"/>
      <c r="AU8" s="146"/>
      <c r="BG8" s="146"/>
      <c r="BH8" s="18"/>
      <c r="BI8"/>
    </row>
    <row r="9" spans="1:63" s="90" customFormat="1" ht="18.5" x14ac:dyDescent="0.45">
      <c r="A9" s="150" t="s">
        <v>232</v>
      </c>
      <c r="B9" s="151"/>
      <c r="C9" s="151"/>
      <c r="D9" s="152"/>
      <c r="E9" s="151"/>
      <c r="F9" s="151"/>
      <c r="G9" s="151"/>
      <c r="H9" s="151"/>
      <c r="I9" s="151"/>
      <c r="J9" s="151"/>
      <c r="K9" s="153"/>
      <c r="BH9" s="18"/>
    </row>
    <row r="10" spans="1:63" s="90" customFormat="1" ht="19" thickBot="1" x14ac:dyDescent="0.5">
      <c r="A10" s="159" t="s">
        <v>233</v>
      </c>
      <c r="B10" s="154"/>
      <c r="C10" s="154"/>
      <c r="D10" s="155"/>
      <c r="E10" s="154"/>
      <c r="F10" s="154"/>
      <c r="G10" s="154"/>
      <c r="H10" s="154"/>
      <c r="I10" s="154"/>
      <c r="J10" s="154"/>
      <c r="K10" s="156"/>
      <c r="BH10" s="20"/>
    </row>
    <row r="11" spans="1:63" x14ac:dyDescent="0.35">
      <c r="A11" s="148"/>
      <c r="B11" s="148"/>
      <c r="C11" s="148"/>
      <c r="D11" s="149"/>
      <c r="E11" s="148"/>
      <c r="F11" s="148"/>
      <c r="G11" s="148"/>
      <c r="H11" s="148"/>
      <c r="I11" s="148"/>
      <c r="J11" s="148"/>
      <c r="K11" s="148"/>
      <c r="W11" s="146"/>
      <c r="AI11" s="146"/>
      <c r="AU11" s="146"/>
      <c r="BG11" s="146"/>
      <c r="BI11"/>
    </row>
    <row r="12" spans="1:63" ht="31.5" customHeight="1" thickBot="1" x14ac:dyDescent="0.4">
      <c r="A12" s="347" t="s">
        <v>203</v>
      </c>
      <c r="B12" s="347"/>
      <c r="C12" s="347"/>
      <c r="D12" s="347"/>
      <c r="E12" s="347"/>
      <c r="F12" s="347"/>
      <c r="G12" s="347"/>
      <c r="H12" s="347"/>
      <c r="I12" s="347"/>
      <c r="J12" s="347"/>
      <c r="K12" s="347"/>
      <c r="M12" s="347" t="s">
        <v>204</v>
      </c>
      <c r="N12" s="347"/>
      <c r="O12" s="347"/>
      <c r="P12" s="347"/>
      <c r="Q12" s="347"/>
      <c r="R12" s="347"/>
      <c r="S12" s="347"/>
      <c r="T12" s="347"/>
      <c r="U12" s="347"/>
      <c r="V12" s="347"/>
      <c r="W12" s="347"/>
      <c r="Y12" s="347" t="s">
        <v>205</v>
      </c>
      <c r="Z12" s="347"/>
      <c r="AA12" s="347"/>
      <c r="AB12" s="347"/>
      <c r="AC12" s="347"/>
      <c r="AD12" s="347"/>
      <c r="AE12" s="347"/>
      <c r="AF12" s="347"/>
      <c r="AG12" s="347"/>
      <c r="AH12" s="347"/>
      <c r="AI12" s="347"/>
      <c r="AK12" s="347" t="s">
        <v>206</v>
      </c>
      <c r="AL12" s="347"/>
      <c r="AM12" s="347"/>
      <c r="AN12" s="347"/>
      <c r="AO12" s="347"/>
      <c r="AP12" s="347"/>
      <c r="AQ12" s="347"/>
      <c r="AR12" s="347"/>
      <c r="AS12" s="347"/>
      <c r="AT12" s="347"/>
      <c r="AU12" s="347"/>
      <c r="AW12" s="347" t="s">
        <v>207</v>
      </c>
      <c r="AX12" s="347"/>
      <c r="AY12" s="347"/>
      <c r="AZ12" s="347"/>
      <c r="BA12" s="347"/>
      <c r="BB12" s="347"/>
      <c r="BC12" s="347"/>
      <c r="BD12" s="347"/>
      <c r="BE12" s="347"/>
      <c r="BF12" s="347"/>
      <c r="BG12" s="347"/>
    </row>
    <row r="13" spans="1:63" s="18" customFormat="1" ht="15.75" customHeight="1" thickTop="1" x14ac:dyDescent="0.35">
      <c r="A13" s="244" t="s">
        <v>23</v>
      </c>
      <c r="B13" s="245"/>
      <c r="C13" s="332" t="s">
        <v>101</v>
      </c>
      <c r="D13" s="342" t="s">
        <v>165</v>
      </c>
      <c r="E13" s="342"/>
      <c r="F13" s="342"/>
      <c r="G13" s="342"/>
      <c r="H13" s="342"/>
      <c r="I13" s="343"/>
      <c r="J13" s="343"/>
      <c r="K13" s="344"/>
      <c r="M13" s="242" t="s">
        <v>23</v>
      </c>
      <c r="N13" s="243"/>
      <c r="O13" s="331" t="s">
        <v>169</v>
      </c>
      <c r="P13" s="342" t="s">
        <v>165</v>
      </c>
      <c r="Q13" s="342"/>
      <c r="R13" s="342"/>
      <c r="S13" s="342"/>
      <c r="T13" s="342"/>
      <c r="U13" s="343"/>
      <c r="V13" s="343"/>
      <c r="W13" s="344"/>
      <c r="Y13" s="242" t="s">
        <v>23</v>
      </c>
      <c r="Z13" s="243"/>
      <c r="AA13" s="331" t="s">
        <v>168</v>
      </c>
      <c r="AB13" s="342" t="s">
        <v>165</v>
      </c>
      <c r="AC13" s="342"/>
      <c r="AD13" s="342"/>
      <c r="AE13" s="342"/>
      <c r="AF13" s="342"/>
      <c r="AG13" s="343"/>
      <c r="AH13" s="343"/>
      <c r="AI13" s="344"/>
      <c r="AK13" s="242" t="s">
        <v>23</v>
      </c>
      <c r="AL13" s="243"/>
      <c r="AM13" s="331" t="s">
        <v>167</v>
      </c>
      <c r="AN13" s="342" t="s">
        <v>165</v>
      </c>
      <c r="AO13" s="342"/>
      <c r="AP13" s="342"/>
      <c r="AQ13" s="342"/>
      <c r="AR13" s="342"/>
      <c r="AS13" s="343"/>
      <c r="AT13" s="343"/>
      <c r="AU13" s="344"/>
      <c r="AW13" s="242" t="s">
        <v>23</v>
      </c>
      <c r="AX13" s="243"/>
      <c r="AY13" s="331" t="s">
        <v>166</v>
      </c>
      <c r="AZ13" s="342" t="s">
        <v>165</v>
      </c>
      <c r="BA13" s="342"/>
      <c r="BB13" s="342"/>
      <c r="BC13" s="342"/>
      <c r="BD13" s="342"/>
      <c r="BE13" s="343"/>
      <c r="BF13" s="343"/>
      <c r="BG13" s="344"/>
      <c r="BH13"/>
      <c r="BI13" s="65" t="s">
        <v>121</v>
      </c>
      <c r="BK13" s="72" t="s">
        <v>122</v>
      </c>
    </row>
    <row r="14" spans="1:63" s="18" customFormat="1" ht="15" customHeight="1" x14ac:dyDescent="0.35">
      <c r="A14" s="244"/>
      <c r="B14" s="245"/>
      <c r="C14" s="332"/>
      <c r="D14" s="327" t="s">
        <v>164</v>
      </c>
      <c r="E14" s="327"/>
      <c r="F14" s="327"/>
      <c r="G14" s="327"/>
      <c r="H14" s="335" t="s">
        <v>98</v>
      </c>
      <c r="I14" s="336"/>
      <c r="J14" s="348" t="s">
        <v>231</v>
      </c>
      <c r="K14" s="337" t="s">
        <v>21</v>
      </c>
      <c r="M14" s="244"/>
      <c r="N14" s="245"/>
      <c r="O14" s="332"/>
      <c r="P14" s="327" t="s">
        <v>164</v>
      </c>
      <c r="Q14" s="327"/>
      <c r="R14" s="327"/>
      <c r="S14" s="327"/>
      <c r="T14" s="335" t="s">
        <v>98</v>
      </c>
      <c r="U14" s="336"/>
      <c r="V14" s="348" t="s">
        <v>231</v>
      </c>
      <c r="W14" s="337" t="s">
        <v>21</v>
      </c>
      <c r="Y14" s="244"/>
      <c r="Z14" s="245"/>
      <c r="AA14" s="332"/>
      <c r="AB14" s="327" t="s">
        <v>164</v>
      </c>
      <c r="AC14" s="327"/>
      <c r="AD14" s="327"/>
      <c r="AE14" s="327"/>
      <c r="AF14" s="335" t="s">
        <v>98</v>
      </c>
      <c r="AG14" s="336"/>
      <c r="AH14" s="348" t="s">
        <v>231</v>
      </c>
      <c r="AI14" s="337" t="s">
        <v>21</v>
      </c>
      <c r="AK14" s="244"/>
      <c r="AL14" s="245"/>
      <c r="AM14" s="332"/>
      <c r="AN14" s="327" t="s">
        <v>164</v>
      </c>
      <c r="AO14" s="327"/>
      <c r="AP14" s="327"/>
      <c r="AQ14" s="327"/>
      <c r="AR14" s="335" t="s">
        <v>98</v>
      </c>
      <c r="AS14" s="336"/>
      <c r="AT14" s="348" t="s">
        <v>231</v>
      </c>
      <c r="AU14" s="337" t="s">
        <v>21</v>
      </c>
      <c r="AW14" s="244"/>
      <c r="AX14" s="245"/>
      <c r="AY14" s="332"/>
      <c r="AZ14" s="327" t="s">
        <v>164</v>
      </c>
      <c r="BA14" s="327"/>
      <c r="BB14" s="327"/>
      <c r="BC14" s="327"/>
      <c r="BD14" s="335" t="s">
        <v>98</v>
      </c>
      <c r="BE14" s="336"/>
      <c r="BF14" s="348" t="s">
        <v>231</v>
      </c>
      <c r="BG14" s="345" t="s">
        <v>21</v>
      </c>
      <c r="BH14"/>
      <c r="BI14" s="325" t="s">
        <v>171</v>
      </c>
      <c r="BK14" s="359" t="s">
        <v>123</v>
      </c>
    </row>
    <row r="15" spans="1:63" s="18" customFormat="1" ht="15" customHeight="1" x14ac:dyDescent="0.35">
      <c r="A15" s="244"/>
      <c r="B15" s="245"/>
      <c r="C15" s="333"/>
      <c r="D15" s="327" t="s">
        <v>3</v>
      </c>
      <c r="E15" s="327"/>
      <c r="F15" s="327"/>
      <c r="G15" s="327"/>
      <c r="H15" s="340" t="s">
        <v>113</v>
      </c>
      <c r="I15" s="340" t="s">
        <v>114</v>
      </c>
      <c r="J15" s="349"/>
      <c r="K15" s="338"/>
      <c r="M15" s="244"/>
      <c r="N15" s="245"/>
      <c r="O15" s="333"/>
      <c r="P15" s="327" t="s">
        <v>3</v>
      </c>
      <c r="Q15" s="327"/>
      <c r="R15" s="327"/>
      <c r="S15" s="327"/>
      <c r="T15" s="340" t="s">
        <v>113</v>
      </c>
      <c r="U15" s="340" t="s">
        <v>114</v>
      </c>
      <c r="V15" s="349"/>
      <c r="W15" s="338"/>
      <c r="Y15" s="244"/>
      <c r="Z15" s="245"/>
      <c r="AA15" s="333"/>
      <c r="AB15" s="327" t="s">
        <v>3</v>
      </c>
      <c r="AC15" s="327"/>
      <c r="AD15" s="327"/>
      <c r="AE15" s="327"/>
      <c r="AF15" s="340" t="s">
        <v>113</v>
      </c>
      <c r="AG15" s="340" t="s">
        <v>114</v>
      </c>
      <c r="AH15" s="349"/>
      <c r="AI15" s="338"/>
      <c r="AK15" s="244"/>
      <c r="AL15" s="245"/>
      <c r="AM15" s="333"/>
      <c r="AN15" s="327" t="s">
        <v>3</v>
      </c>
      <c r="AO15" s="327"/>
      <c r="AP15" s="327"/>
      <c r="AQ15" s="327"/>
      <c r="AR15" s="340" t="s">
        <v>113</v>
      </c>
      <c r="AS15" s="340" t="s">
        <v>114</v>
      </c>
      <c r="AT15" s="349"/>
      <c r="AU15" s="338"/>
      <c r="AW15" s="244"/>
      <c r="AX15" s="245"/>
      <c r="AY15" s="333"/>
      <c r="AZ15" s="327" t="s">
        <v>3</v>
      </c>
      <c r="BA15" s="327"/>
      <c r="BB15" s="327"/>
      <c r="BC15" s="327"/>
      <c r="BD15" s="340" t="s">
        <v>113</v>
      </c>
      <c r="BE15" s="340" t="s">
        <v>114</v>
      </c>
      <c r="BF15" s="349"/>
      <c r="BG15" s="346"/>
      <c r="BH15"/>
      <c r="BI15" s="325"/>
      <c r="BK15" s="359"/>
    </row>
    <row r="16" spans="1:63" s="20" customFormat="1" ht="15" thickBot="1" x14ac:dyDescent="0.4">
      <c r="A16" s="244"/>
      <c r="B16" s="245"/>
      <c r="C16" s="19" t="s">
        <v>3</v>
      </c>
      <c r="D16" s="33" t="s">
        <v>109</v>
      </c>
      <c r="E16" s="33" t="s">
        <v>110</v>
      </c>
      <c r="F16" s="33" t="s">
        <v>111</v>
      </c>
      <c r="G16" s="33" t="s">
        <v>112</v>
      </c>
      <c r="H16" s="340"/>
      <c r="I16" s="340"/>
      <c r="J16" s="349"/>
      <c r="K16" s="338"/>
      <c r="M16" s="244"/>
      <c r="N16" s="245"/>
      <c r="O16" s="19" t="s">
        <v>3</v>
      </c>
      <c r="P16" s="33" t="s">
        <v>109</v>
      </c>
      <c r="Q16" s="33" t="s">
        <v>110</v>
      </c>
      <c r="R16" s="33" t="s">
        <v>111</v>
      </c>
      <c r="S16" s="33" t="s">
        <v>112</v>
      </c>
      <c r="T16" s="340"/>
      <c r="U16" s="340"/>
      <c r="V16" s="349"/>
      <c r="W16" s="338"/>
      <c r="Y16" s="244"/>
      <c r="Z16" s="245"/>
      <c r="AA16" s="19" t="s">
        <v>3</v>
      </c>
      <c r="AB16" s="33" t="s">
        <v>109</v>
      </c>
      <c r="AC16" s="33" t="s">
        <v>110</v>
      </c>
      <c r="AD16" s="33" t="s">
        <v>111</v>
      </c>
      <c r="AE16" s="33" t="s">
        <v>112</v>
      </c>
      <c r="AF16" s="340"/>
      <c r="AG16" s="340"/>
      <c r="AH16" s="349"/>
      <c r="AI16" s="338"/>
      <c r="AK16" s="244"/>
      <c r="AL16" s="245"/>
      <c r="AM16" s="19" t="s">
        <v>3</v>
      </c>
      <c r="AN16" s="33" t="s">
        <v>109</v>
      </c>
      <c r="AO16" s="33" t="s">
        <v>110</v>
      </c>
      <c r="AP16" s="33" t="s">
        <v>111</v>
      </c>
      <c r="AQ16" s="33" t="s">
        <v>112</v>
      </c>
      <c r="AR16" s="340"/>
      <c r="AS16" s="340"/>
      <c r="AT16" s="349"/>
      <c r="AU16" s="338"/>
      <c r="AW16" s="244"/>
      <c r="AX16" s="245"/>
      <c r="AY16" s="19" t="s">
        <v>3</v>
      </c>
      <c r="AZ16" s="33" t="s">
        <v>109</v>
      </c>
      <c r="BA16" s="33" t="s">
        <v>110</v>
      </c>
      <c r="BB16" s="33" t="s">
        <v>111</v>
      </c>
      <c r="BC16" s="33" t="s">
        <v>112</v>
      </c>
      <c r="BD16" s="340"/>
      <c r="BE16" s="340"/>
      <c r="BF16" s="349"/>
      <c r="BG16" s="346"/>
      <c r="BH16"/>
      <c r="BI16" s="339"/>
      <c r="BK16" s="359"/>
    </row>
    <row r="17" spans="1:63" ht="15" thickBot="1" x14ac:dyDescent="0.4">
      <c r="A17" s="21" t="s">
        <v>163</v>
      </c>
      <c r="B17" s="22"/>
      <c r="C17" s="217"/>
      <c r="D17" s="24"/>
      <c r="E17" s="25"/>
      <c r="F17" s="25"/>
      <c r="G17" s="25"/>
      <c r="H17" s="25"/>
      <c r="I17" s="25"/>
      <c r="J17" s="25"/>
      <c r="K17" s="32"/>
      <c r="M17" s="21" t="s">
        <v>163</v>
      </c>
      <c r="N17" s="22"/>
      <c r="O17" s="217"/>
      <c r="P17" s="24"/>
      <c r="Q17" s="25"/>
      <c r="R17" s="25"/>
      <c r="S17" s="25"/>
      <c r="T17" s="25"/>
      <c r="U17" s="25"/>
      <c r="V17" s="25"/>
      <c r="W17" s="32"/>
      <c r="Y17" s="21" t="s">
        <v>163</v>
      </c>
      <c r="Z17" s="22"/>
      <c r="AA17" s="217"/>
      <c r="AB17" s="24"/>
      <c r="AC17" s="25"/>
      <c r="AD17" s="25"/>
      <c r="AE17" s="25"/>
      <c r="AF17" s="25"/>
      <c r="AG17" s="25"/>
      <c r="AH17" s="25"/>
      <c r="AI17" s="32"/>
      <c r="AK17" s="21" t="s">
        <v>163</v>
      </c>
      <c r="AL17" s="22"/>
      <c r="AM17" s="217"/>
      <c r="AN17" s="24"/>
      <c r="AO17" s="25"/>
      <c r="AP17" s="25"/>
      <c r="AQ17" s="25"/>
      <c r="AR17" s="25"/>
      <c r="AS17" s="25"/>
      <c r="AT17" s="25"/>
      <c r="AU17" s="32"/>
      <c r="AW17" s="21" t="s">
        <v>163</v>
      </c>
      <c r="AX17" s="22"/>
      <c r="AY17" s="23"/>
      <c r="AZ17" s="24"/>
      <c r="BA17" s="25"/>
      <c r="BB17" s="25"/>
      <c r="BC17" s="25"/>
      <c r="BD17" s="25"/>
      <c r="BE17" s="25"/>
      <c r="BF17" s="25"/>
      <c r="BG17" s="32"/>
      <c r="BI17" s="205"/>
      <c r="BK17" s="360"/>
    </row>
    <row r="18" spans="1:63" x14ac:dyDescent="0.35">
      <c r="A18" s="224" t="s">
        <v>106</v>
      </c>
      <c r="B18" s="220"/>
      <c r="C18" s="212" t="s">
        <v>3</v>
      </c>
      <c r="D18" s="221" t="s">
        <v>15</v>
      </c>
      <c r="E18" s="221" t="s">
        <v>16</v>
      </c>
      <c r="F18" s="221" t="s">
        <v>17</v>
      </c>
      <c r="G18" s="221" t="s">
        <v>18</v>
      </c>
      <c r="H18" s="221" t="s">
        <v>20</v>
      </c>
      <c r="I18" s="222" t="s">
        <v>100</v>
      </c>
      <c r="J18" s="222" t="s">
        <v>231</v>
      </c>
      <c r="K18" s="223" t="s">
        <v>21</v>
      </c>
      <c r="M18" s="224" t="s">
        <v>106</v>
      </c>
      <c r="N18" s="220"/>
      <c r="O18" s="212" t="s">
        <v>3</v>
      </c>
      <c r="P18" s="221" t="s">
        <v>15</v>
      </c>
      <c r="Q18" s="221" t="s">
        <v>16</v>
      </c>
      <c r="R18" s="221" t="s">
        <v>17</v>
      </c>
      <c r="S18" s="221" t="s">
        <v>18</v>
      </c>
      <c r="T18" s="221" t="s">
        <v>20</v>
      </c>
      <c r="U18" s="222" t="s">
        <v>100</v>
      </c>
      <c r="V18" s="222" t="s">
        <v>231</v>
      </c>
      <c r="W18" s="223" t="s">
        <v>21</v>
      </c>
      <c r="Y18" s="224" t="s">
        <v>106</v>
      </c>
      <c r="Z18" s="220"/>
      <c r="AA18" s="212" t="s">
        <v>3</v>
      </c>
      <c r="AB18" s="221" t="s">
        <v>15</v>
      </c>
      <c r="AC18" s="221" t="s">
        <v>16</v>
      </c>
      <c r="AD18" s="221" t="s">
        <v>17</v>
      </c>
      <c r="AE18" s="221" t="s">
        <v>18</v>
      </c>
      <c r="AF18" s="221" t="s">
        <v>20</v>
      </c>
      <c r="AG18" s="222" t="s">
        <v>100</v>
      </c>
      <c r="AH18" s="222" t="s">
        <v>231</v>
      </c>
      <c r="AI18" s="223" t="s">
        <v>21</v>
      </c>
      <c r="AK18" s="224" t="s">
        <v>106</v>
      </c>
      <c r="AL18" s="220"/>
      <c r="AM18" s="212" t="s">
        <v>3</v>
      </c>
      <c r="AN18" s="221" t="s">
        <v>15</v>
      </c>
      <c r="AO18" s="221" t="s">
        <v>16</v>
      </c>
      <c r="AP18" s="221" t="s">
        <v>17</v>
      </c>
      <c r="AQ18" s="221" t="s">
        <v>18</v>
      </c>
      <c r="AR18" s="221" t="s">
        <v>20</v>
      </c>
      <c r="AS18" s="222" t="s">
        <v>100</v>
      </c>
      <c r="AT18" s="222" t="s">
        <v>231</v>
      </c>
      <c r="AU18" s="223" t="s">
        <v>21</v>
      </c>
      <c r="AW18" s="224" t="s">
        <v>106</v>
      </c>
      <c r="AX18" s="220"/>
      <c r="AY18" s="212" t="s">
        <v>3</v>
      </c>
      <c r="AZ18" s="221" t="s">
        <v>15</v>
      </c>
      <c r="BA18" s="221" t="s">
        <v>16</v>
      </c>
      <c r="BB18" s="221" t="s">
        <v>17</v>
      </c>
      <c r="BC18" s="221" t="s">
        <v>18</v>
      </c>
      <c r="BD18" s="221" t="s">
        <v>20</v>
      </c>
      <c r="BE18" s="222" t="s">
        <v>100</v>
      </c>
      <c r="BF18" s="222" t="s">
        <v>231</v>
      </c>
      <c r="BG18" s="223" t="s">
        <v>21</v>
      </c>
      <c r="BI18" s="69" t="str" cm="1">
        <f t="array" ref="BI18">IF(OR(SUM(IF(O19:W22&lt;(O24:W27+O29:W32),1,0)),SUM(IF(C19:K22&lt;(C24:K27+C29:K32),1,0)),SUM(IF(AA19:AI22&lt;(AA24:AI27+AA29:AI32),1,0)), SUM(IF(AM19:AU22&lt;(AM24:AU27+AM29:AU32),1,0)), SUM(IF(AY19:BG22&lt;(AY24:BG27+AY29:BG32),1,0))),"!! Check sum by sex for one or more columns/rows","")</f>
        <v/>
      </c>
      <c r="BK18" s="341"/>
    </row>
    <row r="19" spans="1:63" x14ac:dyDescent="0.35">
      <c r="A19" s="2"/>
      <c r="B19" s="6" t="s">
        <v>441</v>
      </c>
      <c r="C19" s="218">
        <f>'Exits 2024'!C13</f>
        <v>542</v>
      </c>
      <c r="D19" s="130"/>
      <c r="E19" s="130"/>
      <c r="F19" s="130"/>
      <c r="G19" s="130"/>
      <c r="H19" s="130"/>
      <c r="I19" s="130"/>
      <c r="J19" s="130"/>
      <c r="K19" s="127">
        <f>C19-SUM(D19:G19,H19:I19,J19)</f>
        <v>542</v>
      </c>
      <c r="M19" s="2"/>
      <c r="N19" s="6" t="s">
        <v>441</v>
      </c>
      <c r="O19" s="213">
        <f>'Exits 2024'!D13</f>
        <v>0</v>
      </c>
      <c r="P19" s="130"/>
      <c r="Q19" s="130"/>
      <c r="R19" s="130"/>
      <c r="S19" s="130"/>
      <c r="T19" s="130"/>
      <c r="U19" s="130"/>
      <c r="V19" s="131"/>
      <c r="W19" s="127">
        <f>O19-SUM(P19:S19,T19:U19,V19)</f>
        <v>0</v>
      </c>
      <c r="Y19" s="2"/>
      <c r="Z19" s="6" t="s">
        <v>441</v>
      </c>
      <c r="AA19" s="213">
        <f>'Exits 2024'!E13</f>
        <v>0</v>
      </c>
      <c r="AB19" s="130"/>
      <c r="AC19" s="130"/>
      <c r="AD19" s="130"/>
      <c r="AE19" s="130"/>
      <c r="AF19" s="130"/>
      <c r="AG19" s="130"/>
      <c r="AH19" s="131"/>
      <c r="AI19" s="127">
        <f>AA19-SUM(AB19:AE19,AF19:AG19,AH19)</f>
        <v>0</v>
      </c>
      <c r="AK19" s="2"/>
      <c r="AL19" s="6" t="s">
        <v>441</v>
      </c>
      <c r="AM19" s="213">
        <f>'Exits 2024'!F13</f>
        <v>0</v>
      </c>
      <c r="AN19" s="130"/>
      <c r="AO19" s="130"/>
      <c r="AP19" s="130"/>
      <c r="AQ19" s="130"/>
      <c r="AR19" s="130"/>
      <c r="AS19" s="130"/>
      <c r="AT19" s="131"/>
      <c r="AU19" s="127">
        <f>AM19-SUM(AN19:AQ19,AR19:AS19,AT19)</f>
        <v>0</v>
      </c>
      <c r="AW19" s="2"/>
      <c r="AX19" s="6" t="s">
        <v>441</v>
      </c>
      <c r="AY19" s="213">
        <f>'Exits 2024'!G13</f>
        <v>0</v>
      </c>
      <c r="AZ19" s="130"/>
      <c r="BA19" s="130"/>
      <c r="BB19" s="130"/>
      <c r="BC19" s="130"/>
      <c r="BD19" s="130"/>
      <c r="BE19" s="130"/>
      <c r="BF19" s="131"/>
      <c r="BG19" s="127">
        <f>AY19-SUM(AZ19:BC19,BD19:BE19,BF19)</f>
        <v>0</v>
      </c>
      <c r="BI19" s="69" t="str">
        <f>IF(OR(K19&lt;0,W19&lt;0,AI19&lt;0,AU19&lt;0,BG19&lt;0),"!! Total must be &gt;= sum by situation",IF(OR(C19&lt;SUM(O19,AA19,AM19,AY19),D19&lt;SUM(P19,AB19,AN19,AZ19),E19&lt;SUM(Q19,AC19,AO19,BA19),F19&lt;SUM(R19,AD19,AP19,BB19),G19&lt;SUM(S19,AE19,AQ19,BC19),H19&lt;SUM(T19,AF19,AR19,BD19),I19&lt;SUM(U19,AG19,AS19,BE19),J19&lt;SUM(V19,AH19,AT19,BF19)),"!! Values in FU1 must be &gt;= sum of values in FU2 - FU5",""))</f>
        <v/>
      </c>
      <c r="BK19" s="246"/>
    </row>
    <row r="20" spans="1:63" x14ac:dyDescent="0.35">
      <c r="A20" s="2"/>
      <c r="B20" s="6" t="s">
        <v>6</v>
      </c>
      <c r="C20" s="218">
        <f>'Exits 2024'!C14</f>
        <v>278</v>
      </c>
      <c r="D20" s="130"/>
      <c r="E20" s="130"/>
      <c r="F20" s="130"/>
      <c r="G20" s="130"/>
      <c r="H20" s="130"/>
      <c r="I20" s="130"/>
      <c r="J20" s="130"/>
      <c r="K20" s="127">
        <f t="shared" ref="K20:K22" si="0">C20-SUM(D20:G20,H20:I20,J20)</f>
        <v>278</v>
      </c>
      <c r="M20" s="2"/>
      <c r="N20" s="6" t="s">
        <v>6</v>
      </c>
      <c r="O20" s="213">
        <f>'Exits 2024'!D14</f>
        <v>0</v>
      </c>
      <c r="P20" s="130"/>
      <c r="Q20" s="130"/>
      <c r="R20" s="130"/>
      <c r="S20" s="130"/>
      <c r="T20" s="130"/>
      <c r="U20" s="130"/>
      <c r="V20" s="131"/>
      <c r="W20" s="127">
        <f t="shared" ref="W20:W22" si="1">O20-SUM(P20:S20,T20:U20,V20)</f>
        <v>0</v>
      </c>
      <c r="Y20" s="2"/>
      <c r="Z20" s="6" t="s">
        <v>6</v>
      </c>
      <c r="AA20" s="213">
        <f>'Exits 2024'!E14</f>
        <v>0</v>
      </c>
      <c r="AB20" s="130"/>
      <c r="AC20" s="130"/>
      <c r="AD20" s="130"/>
      <c r="AE20" s="130"/>
      <c r="AF20" s="130"/>
      <c r="AG20" s="130"/>
      <c r="AH20" s="131"/>
      <c r="AI20" s="127">
        <f t="shared" ref="AI20:AI22" si="2">AA20-SUM(AB20:AE20,AF20:AG20,AH20)</f>
        <v>0</v>
      </c>
      <c r="AK20" s="2"/>
      <c r="AL20" s="6" t="s">
        <v>6</v>
      </c>
      <c r="AM20" s="213">
        <f>'Exits 2024'!F14</f>
        <v>0</v>
      </c>
      <c r="AN20" s="130"/>
      <c r="AO20" s="130"/>
      <c r="AP20" s="130"/>
      <c r="AQ20" s="130"/>
      <c r="AR20" s="130"/>
      <c r="AS20" s="130"/>
      <c r="AT20" s="131"/>
      <c r="AU20" s="127">
        <f t="shared" ref="AU20:AU22" si="3">AM20-SUM(AN20:AQ20,AR20:AS20,AT20)</f>
        <v>0</v>
      </c>
      <c r="AW20" s="2"/>
      <c r="AX20" s="6" t="s">
        <v>6</v>
      </c>
      <c r="AY20" s="213">
        <f>'Exits 2024'!G14</f>
        <v>0</v>
      </c>
      <c r="AZ20" s="130"/>
      <c r="BA20" s="130"/>
      <c r="BB20" s="130"/>
      <c r="BC20" s="130"/>
      <c r="BD20" s="130"/>
      <c r="BE20" s="130"/>
      <c r="BF20" s="131"/>
      <c r="BG20" s="127">
        <f t="shared" ref="BG20:BG22" si="4">AY20-SUM(AZ20:BC20,BD20:BE20,BF20)</f>
        <v>0</v>
      </c>
      <c r="BI20" s="69" t="str">
        <f>IF(OR(K20&lt;0,W20&lt;0,AI20&lt;0,AU20&lt;0,BG20&lt;0),"!! Total must be &gt;= sum by situation",IF(OR(C20&lt;SUM(O20,AA20,AM20,AY20),D20&lt;SUM(P20,AB20,AN20,AZ20),E20&lt;SUM(Q20,AC20,AO20,BA20),F20&lt;SUM(R20,AD20,AP20,BB20),G20&lt;SUM(S20,AE20,AQ20,BC20),H20&lt;SUM(T20,AF20,AR20,BD20),I20&lt;SUM(U20,AG20,AS20,BE20),J20&lt;SUM(V20,AH20,AT20,BF20)),"!! Values in FU1 must be &gt;= sum of values in FU2 - FU5",""))</f>
        <v/>
      </c>
      <c r="BK20" s="246"/>
    </row>
    <row r="21" spans="1:63" x14ac:dyDescent="0.35">
      <c r="A21" s="2"/>
      <c r="B21" s="6" t="s">
        <v>7</v>
      </c>
      <c r="C21" s="218">
        <f>'Exits 2024'!C15</f>
        <v>203</v>
      </c>
      <c r="D21" s="130"/>
      <c r="E21" s="130"/>
      <c r="F21" s="130"/>
      <c r="G21" s="130"/>
      <c r="H21" s="130"/>
      <c r="I21" s="130"/>
      <c r="J21" s="130"/>
      <c r="K21" s="127">
        <f t="shared" ref="K21" si="5">C21-SUM(D21:G21,H21:I21,J21)</f>
        <v>203</v>
      </c>
      <c r="M21" s="2"/>
      <c r="N21" s="6" t="s">
        <v>7</v>
      </c>
      <c r="O21" s="213">
        <f>'Exits 2024'!D15</f>
        <v>0</v>
      </c>
      <c r="P21" s="130"/>
      <c r="Q21" s="130"/>
      <c r="R21" s="130"/>
      <c r="S21" s="130"/>
      <c r="T21" s="130"/>
      <c r="U21" s="130"/>
      <c r="V21" s="131"/>
      <c r="W21" s="127">
        <f t="shared" ref="W21" si="6">O21-SUM(P21:S21,T21:U21,V21)</f>
        <v>0</v>
      </c>
      <c r="Y21" s="2"/>
      <c r="Z21" s="6" t="s">
        <v>7</v>
      </c>
      <c r="AA21" s="213">
        <f>'Exits 2024'!E15</f>
        <v>0</v>
      </c>
      <c r="AB21" s="130"/>
      <c r="AC21" s="130"/>
      <c r="AD21" s="130"/>
      <c r="AE21" s="130"/>
      <c r="AF21" s="130"/>
      <c r="AG21" s="130"/>
      <c r="AH21" s="131"/>
      <c r="AI21" s="127">
        <f t="shared" ref="AI21" si="7">AA21-SUM(AB21:AE21,AF21:AG21,AH21)</f>
        <v>0</v>
      </c>
      <c r="AK21" s="2"/>
      <c r="AL21" s="6" t="s">
        <v>7</v>
      </c>
      <c r="AM21" s="213">
        <f>'Exits 2024'!F15</f>
        <v>0</v>
      </c>
      <c r="AN21" s="130"/>
      <c r="AO21" s="130"/>
      <c r="AP21" s="130"/>
      <c r="AQ21" s="130"/>
      <c r="AR21" s="130"/>
      <c r="AS21" s="130"/>
      <c r="AT21" s="131"/>
      <c r="AU21" s="127">
        <f t="shared" ref="AU21" si="8">AM21-SUM(AN21:AQ21,AR21:AS21,AT21)</f>
        <v>0</v>
      </c>
      <c r="AW21" s="2"/>
      <c r="AX21" s="6" t="s">
        <v>7</v>
      </c>
      <c r="AY21" s="213">
        <f>'Exits 2024'!G15</f>
        <v>0</v>
      </c>
      <c r="AZ21" s="130"/>
      <c r="BA21" s="130"/>
      <c r="BB21" s="130"/>
      <c r="BC21" s="130"/>
      <c r="BD21" s="130"/>
      <c r="BE21" s="130"/>
      <c r="BF21" s="131"/>
      <c r="BG21" s="127">
        <f t="shared" si="4"/>
        <v>0</v>
      </c>
      <c r="BI21" s="69" t="str">
        <f t="shared" ref="BI21:BI22" si="9">IF(OR(K21&lt;0,W21&lt;0,AI21&lt;0,AU21&lt;0,BG21&lt;0),"!! Total must be &gt;= sum by situation",IF(OR(C21&lt;SUM(O21,AA21,AM21,AY21),D21&lt;SUM(P21,AB21,AN21,AZ21),E21&lt;SUM(Q21,AC21,AO21,BA21),F21&lt;SUM(R21,AD21,AP21,BB21),G21&lt;SUM(S21,AE21,AQ21,BC21),H21&lt;SUM(T21,AF21,AR21,BD21),I21&lt;SUM(U21,AG21,AS21,BE21),J21&lt;SUM(V21,AH21,AT21,BF21)),"!! Values in FU1 must be &gt;= sum of values in FU2 - FU5",""))</f>
        <v/>
      </c>
      <c r="BK21" s="246"/>
    </row>
    <row r="22" spans="1:63" x14ac:dyDescent="0.35">
      <c r="A22" s="2"/>
      <c r="B22" s="6" t="s">
        <v>440</v>
      </c>
      <c r="C22" s="218">
        <f>'Exits 2024'!C16</f>
        <v>68</v>
      </c>
      <c r="D22" s="130"/>
      <c r="E22" s="130"/>
      <c r="F22" s="130"/>
      <c r="G22" s="130"/>
      <c r="H22" s="130"/>
      <c r="I22" s="130"/>
      <c r="J22" s="130"/>
      <c r="K22" s="127">
        <f t="shared" si="0"/>
        <v>68</v>
      </c>
      <c r="M22" s="2"/>
      <c r="N22" s="6" t="s">
        <v>440</v>
      </c>
      <c r="O22" s="213">
        <f>'Exits 2024'!D16</f>
        <v>0</v>
      </c>
      <c r="P22" s="130"/>
      <c r="Q22" s="130"/>
      <c r="R22" s="130"/>
      <c r="S22" s="130"/>
      <c r="T22" s="130"/>
      <c r="U22" s="130"/>
      <c r="V22" s="131"/>
      <c r="W22" s="127">
        <f t="shared" si="1"/>
        <v>0</v>
      </c>
      <c r="Y22" s="2"/>
      <c r="Z22" s="6" t="s">
        <v>440</v>
      </c>
      <c r="AA22" s="213">
        <f>'Exits 2024'!E16</f>
        <v>0</v>
      </c>
      <c r="AB22" s="130"/>
      <c r="AC22" s="130"/>
      <c r="AD22" s="130"/>
      <c r="AE22" s="130"/>
      <c r="AF22" s="130"/>
      <c r="AG22" s="130"/>
      <c r="AH22" s="131"/>
      <c r="AI22" s="127">
        <f t="shared" si="2"/>
        <v>0</v>
      </c>
      <c r="AK22" s="2"/>
      <c r="AL22" s="6" t="s">
        <v>440</v>
      </c>
      <c r="AM22" s="213">
        <f>'Exits 2024'!F16</f>
        <v>0</v>
      </c>
      <c r="AN22" s="130"/>
      <c r="AO22" s="130"/>
      <c r="AP22" s="130"/>
      <c r="AQ22" s="130"/>
      <c r="AR22" s="130"/>
      <c r="AS22" s="130"/>
      <c r="AT22" s="131"/>
      <c r="AU22" s="127">
        <f t="shared" si="3"/>
        <v>0</v>
      </c>
      <c r="AW22" s="2"/>
      <c r="AX22" s="6" t="s">
        <v>440</v>
      </c>
      <c r="AY22" s="213">
        <f>'Exits 2024'!G16</f>
        <v>0</v>
      </c>
      <c r="AZ22" s="130"/>
      <c r="BA22" s="130"/>
      <c r="BB22" s="130"/>
      <c r="BC22" s="130"/>
      <c r="BD22" s="130"/>
      <c r="BE22" s="130"/>
      <c r="BF22" s="131"/>
      <c r="BG22" s="127">
        <f t="shared" si="4"/>
        <v>0</v>
      </c>
      <c r="BI22" s="69" t="str">
        <f t="shared" si="9"/>
        <v/>
      </c>
      <c r="BK22" s="246"/>
    </row>
    <row r="23" spans="1:63" x14ac:dyDescent="0.35">
      <c r="A23" s="224" t="s">
        <v>4</v>
      </c>
      <c r="B23" s="220"/>
      <c r="C23" s="212" t="str">
        <f t="shared" ref="C23:K23" si="10">C$18</f>
        <v>Total</v>
      </c>
      <c r="D23" s="221" t="str">
        <f>D$18</f>
        <v>Employment</v>
      </c>
      <c r="E23" s="221" t="str">
        <f t="shared" ref="E23:J23" si="11">E$18</f>
        <v>Education</v>
      </c>
      <c r="F23" s="221" t="str">
        <f t="shared" si="11"/>
        <v>Apprenticeship</v>
      </c>
      <c r="G23" s="221" t="str">
        <f t="shared" si="11"/>
        <v>Traineeship</v>
      </c>
      <c r="H23" s="221" t="str">
        <f t="shared" si="11"/>
        <v>Unemployment</v>
      </c>
      <c r="I23" s="221" t="str">
        <f t="shared" si="11"/>
        <v>Inactivity</v>
      </c>
      <c r="J23" s="221" t="str">
        <f t="shared" si="11"/>
        <v>Not applicable</v>
      </c>
      <c r="K23" s="223" t="str">
        <f t="shared" si="10"/>
        <v>Unknown</v>
      </c>
      <c r="M23" s="224" t="s">
        <v>4</v>
      </c>
      <c r="N23" s="220"/>
      <c r="O23" s="212" t="str">
        <f t="shared" ref="O23:V23" si="12">O$18</f>
        <v>Total</v>
      </c>
      <c r="P23" s="221" t="str">
        <f t="shared" si="12"/>
        <v>Employment</v>
      </c>
      <c r="Q23" s="221" t="str">
        <f t="shared" si="12"/>
        <v>Education</v>
      </c>
      <c r="R23" s="221" t="str">
        <f t="shared" si="12"/>
        <v>Apprenticeship</v>
      </c>
      <c r="S23" s="221" t="str">
        <f t="shared" si="12"/>
        <v>Traineeship</v>
      </c>
      <c r="T23" s="221" t="str">
        <f t="shared" si="12"/>
        <v>Unemployment</v>
      </c>
      <c r="U23" s="222" t="str">
        <f t="shared" si="12"/>
        <v>Inactivity</v>
      </c>
      <c r="V23" s="222" t="str">
        <f t="shared" si="12"/>
        <v>Not applicable</v>
      </c>
      <c r="W23" s="223" t="str">
        <f t="shared" ref="W23" si="13">W$18</f>
        <v>Unknown</v>
      </c>
      <c r="Y23" s="224" t="s">
        <v>4</v>
      </c>
      <c r="Z23" s="220"/>
      <c r="AA23" s="212" t="str">
        <f t="shared" ref="AA23:AH23" si="14">AA$18</f>
        <v>Total</v>
      </c>
      <c r="AB23" s="221" t="str">
        <f t="shared" si="14"/>
        <v>Employment</v>
      </c>
      <c r="AC23" s="221" t="str">
        <f t="shared" si="14"/>
        <v>Education</v>
      </c>
      <c r="AD23" s="221" t="str">
        <f t="shared" si="14"/>
        <v>Apprenticeship</v>
      </c>
      <c r="AE23" s="221" t="str">
        <f t="shared" si="14"/>
        <v>Traineeship</v>
      </c>
      <c r="AF23" s="221" t="str">
        <f t="shared" si="14"/>
        <v>Unemployment</v>
      </c>
      <c r="AG23" s="222" t="str">
        <f t="shared" si="14"/>
        <v>Inactivity</v>
      </c>
      <c r="AH23" s="222" t="str">
        <f t="shared" si="14"/>
        <v>Not applicable</v>
      </c>
      <c r="AI23" s="223" t="str">
        <f t="shared" ref="AI23" si="15">AI$18</f>
        <v>Unknown</v>
      </c>
      <c r="AK23" s="224" t="s">
        <v>4</v>
      </c>
      <c r="AL23" s="220"/>
      <c r="AM23" s="212" t="str">
        <f t="shared" ref="AM23:AT23" si="16">AM$18</f>
        <v>Total</v>
      </c>
      <c r="AN23" s="221" t="str">
        <f t="shared" si="16"/>
        <v>Employment</v>
      </c>
      <c r="AO23" s="221" t="str">
        <f t="shared" si="16"/>
        <v>Education</v>
      </c>
      <c r="AP23" s="221" t="str">
        <f t="shared" si="16"/>
        <v>Apprenticeship</v>
      </c>
      <c r="AQ23" s="221" t="str">
        <f t="shared" si="16"/>
        <v>Traineeship</v>
      </c>
      <c r="AR23" s="221" t="str">
        <f t="shared" si="16"/>
        <v>Unemployment</v>
      </c>
      <c r="AS23" s="222" t="str">
        <f t="shared" si="16"/>
        <v>Inactivity</v>
      </c>
      <c r="AT23" s="222" t="str">
        <f t="shared" si="16"/>
        <v>Not applicable</v>
      </c>
      <c r="AU23" s="223" t="str">
        <f t="shared" ref="AU23" si="17">AU$18</f>
        <v>Unknown</v>
      </c>
      <c r="AW23" s="224" t="s">
        <v>4</v>
      </c>
      <c r="AX23" s="220"/>
      <c r="AY23" s="212" t="str">
        <f t="shared" ref="AY23:BF23" si="18">AY$18</f>
        <v>Total</v>
      </c>
      <c r="AZ23" s="221" t="str">
        <f t="shared" si="18"/>
        <v>Employment</v>
      </c>
      <c r="BA23" s="221" t="str">
        <f t="shared" si="18"/>
        <v>Education</v>
      </c>
      <c r="BB23" s="221" t="str">
        <f t="shared" si="18"/>
        <v>Apprenticeship</v>
      </c>
      <c r="BC23" s="221" t="str">
        <f t="shared" si="18"/>
        <v>Traineeship</v>
      </c>
      <c r="BD23" s="221" t="str">
        <f t="shared" si="18"/>
        <v>Unemployment</v>
      </c>
      <c r="BE23" s="222" t="str">
        <f t="shared" si="18"/>
        <v>Inactivity</v>
      </c>
      <c r="BF23" s="222" t="str">
        <f t="shared" si="18"/>
        <v>Not applicable</v>
      </c>
      <c r="BG23" s="223" t="str">
        <f t="shared" ref="BG23" si="19">BG$18</f>
        <v>Unknown</v>
      </c>
      <c r="BI23" s="69"/>
      <c r="BK23" s="246"/>
    </row>
    <row r="24" spans="1:63" x14ac:dyDescent="0.35">
      <c r="A24" s="2"/>
      <c r="B24" s="6" t="s">
        <v>441</v>
      </c>
      <c r="C24" s="218">
        <f>'Exits 2024'!C18</f>
        <v>289</v>
      </c>
      <c r="D24" s="130"/>
      <c r="E24" s="130"/>
      <c r="F24" s="130"/>
      <c r="G24" s="130"/>
      <c r="H24" s="130"/>
      <c r="I24" s="130"/>
      <c r="J24" s="130"/>
      <c r="K24" s="127">
        <f>C24-SUM(D24:G24,H24:I24,J24)</f>
        <v>289</v>
      </c>
      <c r="M24" s="2"/>
      <c r="N24" s="6" t="s">
        <v>441</v>
      </c>
      <c r="O24" s="213">
        <f>'Exits 2024'!D18</f>
        <v>0</v>
      </c>
      <c r="P24" s="130"/>
      <c r="Q24" s="130"/>
      <c r="R24" s="130"/>
      <c r="S24" s="130"/>
      <c r="T24" s="130"/>
      <c r="U24" s="130"/>
      <c r="V24" s="131"/>
      <c r="W24" s="127">
        <f t="shared" ref="W24:W27" si="20">O24-SUM(P24:S24,T24:U24,V24)</f>
        <v>0</v>
      </c>
      <c r="Y24" s="2"/>
      <c r="Z24" s="6" t="s">
        <v>441</v>
      </c>
      <c r="AA24" s="213">
        <f>'Exits 2024'!E18</f>
        <v>0</v>
      </c>
      <c r="AB24" s="130"/>
      <c r="AC24" s="130"/>
      <c r="AD24" s="130"/>
      <c r="AE24" s="130"/>
      <c r="AF24" s="130"/>
      <c r="AG24" s="130"/>
      <c r="AH24" s="131"/>
      <c r="AI24" s="127">
        <f t="shared" ref="AI24:AI27" si="21">AA24-SUM(AB24:AE24,AF24:AG24,AH24)</f>
        <v>0</v>
      </c>
      <c r="AK24" s="2"/>
      <c r="AL24" s="6" t="s">
        <v>441</v>
      </c>
      <c r="AM24" s="213">
        <f>'Exits 2024'!F18</f>
        <v>0</v>
      </c>
      <c r="AN24" s="130"/>
      <c r="AO24" s="130"/>
      <c r="AP24" s="130"/>
      <c r="AQ24" s="130"/>
      <c r="AR24" s="130"/>
      <c r="AS24" s="130"/>
      <c r="AT24" s="131"/>
      <c r="AU24" s="127">
        <f t="shared" ref="AU24:AU27" si="22">AM24-SUM(AN24:AQ24,AR24:AS24,AT24)</f>
        <v>0</v>
      </c>
      <c r="AW24" s="2"/>
      <c r="AX24" s="6" t="s">
        <v>441</v>
      </c>
      <c r="AY24" s="213">
        <f>'Exits 2024'!G18</f>
        <v>0</v>
      </c>
      <c r="AZ24" s="130"/>
      <c r="BA24" s="130"/>
      <c r="BB24" s="130"/>
      <c r="BC24" s="130"/>
      <c r="BD24" s="130"/>
      <c r="BE24" s="130"/>
      <c r="BF24" s="131"/>
      <c r="BG24" s="127">
        <f t="shared" ref="BG24:BG27" si="23">AY24-SUM(AZ24:BC24,BD24:BE24,BF24)</f>
        <v>0</v>
      </c>
      <c r="BI24" s="69" t="str">
        <f>IF(OR(K24&lt;0,W24&lt;0,AI24&lt;0,AU24&lt;0,BG24&lt;0),"!! Total must be &gt;= sum by situation",IF(OR(C24&lt;SUM(O24,AA24,AM24,AY24),D24&lt;SUM(P24,AB24,AN24,AZ24),E24&lt;SUM(Q24,AC24,AO24,BA24),F24&lt;SUM(R24,AD24,AP24,BB24),G24&lt;SUM(S24,AE24,AQ24,BC24),H24&lt;SUM(T24,AF24,AR24,BD24),I24&lt;SUM(U24,AG24,AS24,BE24),J24&lt;SUM(V24,AH24,AT24,BF24)),"!! Values in FU1 must be &gt;= sum of values in FU2 - FU5",""))</f>
        <v/>
      </c>
      <c r="BK24" s="246"/>
    </row>
    <row r="25" spans="1:63" x14ac:dyDescent="0.35">
      <c r="A25" s="2"/>
      <c r="B25" s="6" t="s">
        <v>6</v>
      </c>
      <c r="C25" s="218">
        <f>'Exits 2024'!C19</f>
        <v>147</v>
      </c>
      <c r="D25" s="130"/>
      <c r="E25" s="130"/>
      <c r="F25" s="130"/>
      <c r="G25" s="130"/>
      <c r="H25" s="130"/>
      <c r="I25" s="130"/>
      <c r="J25" s="130"/>
      <c r="K25" s="127">
        <f>C25-SUM(D25:G25,H25:I25,J25)</f>
        <v>147</v>
      </c>
      <c r="M25" s="2"/>
      <c r="N25" s="6" t="s">
        <v>6</v>
      </c>
      <c r="O25" s="213">
        <f>'Exits 2024'!D19</f>
        <v>0</v>
      </c>
      <c r="P25" s="130"/>
      <c r="Q25" s="131"/>
      <c r="R25" s="131"/>
      <c r="S25" s="131"/>
      <c r="T25" s="131"/>
      <c r="U25" s="131"/>
      <c r="V25" s="131"/>
      <c r="W25" s="127">
        <f t="shared" si="20"/>
        <v>0</v>
      </c>
      <c r="Y25" s="2"/>
      <c r="Z25" s="6" t="s">
        <v>6</v>
      </c>
      <c r="AA25" s="213">
        <f>'Exits 2024'!E19</f>
        <v>0</v>
      </c>
      <c r="AB25" s="130"/>
      <c r="AC25" s="131"/>
      <c r="AD25" s="131"/>
      <c r="AE25" s="131"/>
      <c r="AF25" s="131"/>
      <c r="AG25" s="131"/>
      <c r="AH25" s="131"/>
      <c r="AI25" s="127">
        <f t="shared" si="21"/>
        <v>0</v>
      </c>
      <c r="AK25" s="2"/>
      <c r="AL25" s="6" t="s">
        <v>6</v>
      </c>
      <c r="AM25" s="213">
        <f>'Exits 2024'!F19</f>
        <v>0</v>
      </c>
      <c r="AN25" s="130"/>
      <c r="AO25" s="131"/>
      <c r="AP25" s="131"/>
      <c r="AQ25" s="131"/>
      <c r="AR25" s="131"/>
      <c r="AS25" s="131"/>
      <c r="AT25" s="131"/>
      <c r="AU25" s="127">
        <f t="shared" si="22"/>
        <v>0</v>
      </c>
      <c r="AW25" s="2"/>
      <c r="AX25" s="6" t="s">
        <v>6</v>
      </c>
      <c r="AY25" s="213">
        <f>'Exits 2024'!G19</f>
        <v>0</v>
      </c>
      <c r="AZ25" s="130"/>
      <c r="BA25" s="131"/>
      <c r="BB25" s="131"/>
      <c r="BC25" s="131"/>
      <c r="BD25" s="131"/>
      <c r="BE25" s="131"/>
      <c r="BF25" s="131"/>
      <c r="BG25" s="127">
        <f t="shared" si="23"/>
        <v>0</v>
      </c>
      <c r="BI25" s="69" t="str">
        <f>IF(OR(K25&lt;0,W25&lt;0,AI25&lt;0,AU25&lt;0,BG25&lt;0),"!! Total must be &gt;= sum by situation",IF(OR(C25&lt;SUM(O25,AA25,AM25,AY25),D25&lt;SUM(P25,AB25,AN25,AZ25),E25&lt;SUM(Q25,AC25,AO25,BA25),F25&lt;SUM(R25,AD25,AP25,BB25),G25&lt;SUM(S25,AE25,AQ25,BC25),H25&lt;SUM(T25,AF25,AR25,BD25),I25&lt;SUM(U25,AG25,AS25,BE25),J25&lt;SUM(V25,AH25,AT25,BF25)),"!! Values in FU1 must be &gt;= sum of values in FU2 - FU5",""))</f>
        <v/>
      </c>
      <c r="BK25" s="246"/>
    </row>
    <row r="26" spans="1:63" x14ac:dyDescent="0.35">
      <c r="A26" s="2"/>
      <c r="B26" s="6" t="s">
        <v>7</v>
      </c>
      <c r="C26" s="218">
        <f>'Exits 2024'!C20</f>
        <v>122</v>
      </c>
      <c r="D26" s="130"/>
      <c r="E26" s="130"/>
      <c r="F26" s="130"/>
      <c r="G26" s="130"/>
      <c r="H26" s="130"/>
      <c r="I26" s="130"/>
      <c r="J26" s="130"/>
      <c r="K26" s="127">
        <f>C26-SUM(D26:G26,H26:I26,J26)</f>
        <v>122</v>
      </c>
      <c r="M26" s="2"/>
      <c r="N26" s="6" t="s">
        <v>7</v>
      </c>
      <c r="O26" s="213">
        <f>'Exits 2024'!D20</f>
        <v>0</v>
      </c>
      <c r="P26" s="130"/>
      <c r="Q26" s="130"/>
      <c r="R26" s="130"/>
      <c r="S26" s="130"/>
      <c r="T26" s="130"/>
      <c r="U26" s="130"/>
      <c r="V26" s="131"/>
      <c r="W26" s="127">
        <f t="shared" si="20"/>
        <v>0</v>
      </c>
      <c r="Y26" s="2"/>
      <c r="Z26" s="6" t="s">
        <v>7</v>
      </c>
      <c r="AA26" s="213">
        <f>'Exits 2024'!E20</f>
        <v>0</v>
      </c>
      <c r="AB26" s="130"/>
      <c r="AC26" s="130"/>
      <c r="AD26" s="130"/>
      <c r="AE26" s="130"/>
      <c r="AF26" s="130"/>
      <c r="AG26" s="130"/>
      <c r="AH26" s="131"/>
      <c r="AI26" s="127">
        <f t="shared" si="21"/>
        <v>0</v>
      </c>
      <c r="AK26" s="2"/>
      <c r="AL26" s="6" t="s">
        <v>7</v>
      </c>
      <c r="AM26" s="213">
        <f>'Exits 2024'!F20</f>
        <v>0</v>
      </c>
      <c r="AN26" s="130"/>
      <c r="AO26" s="130"/>
      <c r="AP26" s="130"/>
      <c r="AQ26" s="130"/>
      <c r="AR26" s="130"/>
      <c r="AS26" s="130"/>
      <c r="AT26" s="131"/>
      <c r="AU26" s="127">
        <f t="shared" si="22"/>
        <v>0</v>
      </c>
      <c r="AW26" s="2"/>
      <c r="AX26" s="6" t="s">
        <v>7</v>
      </c>
      <c r="AY26" s="213">
        <f>'Exits 2024'!G20</f>
        <v>0</v>
      </c>
      <c r="AZ26" s="130"/>
      <c r="BA26" s="130"/>
      <c r="BB26" s="130"/>
      <c r="BC26" s="130"/>
      <c r="BD26" s="130"/>
      <c r="BE26" s="130"/>
      <c r="BF26" s="131"/>
      <c r="BG26" s="127">
        <f t="shared" si="23"/>
        <v>0</v>
      </c>
      <c r="BI26" s="69" t="str">
        <f t="shared" ref="BI26:BI27" si="24">IF(OR(K26&lt;0,W26&lt;0,AI26&lt;0,AU26&lt;0,BG26&lt;0),"!! Total must be &gt;= sum by situation",IF(OR(C26&lt;SUM(O26,AA26,AM26,AY26),D26&lt;SUM(P26,AB26,AN26,AZ26),E26&lt;SUM(Q26,AC26,AO26,BA26),F26&lt;SUM(R26,AD26,AP26,BB26),G26&lt;SUM(S26,AE26,AQ26,BC26),H26&lt;SUM(T26,AF26,AR26,BD26),I26&lt;SUM(U26,AG26,AS26,BE26),J26&lt;SUM(V26,AH26,AT26,BF26)),"!! Values in FU1 must be &gt;= sum of values in FU2 - FU5",""))</f>
        <v/>
      </c>
      <c r="BK26" s="246"/>
    </row>
    <row r="27" spans="1:63" x14ac:dyDescent="0.35">
      <c r="A27" s="2"/>
      <c r="B27" s="6" t="s">
        <v>440</v>
      </c>
      <c r="C27" s="218">
        <f>'Exits 2024'!C21</f>
        <v>30</v>
      </c>
      <c r="D27" s="130"/>
      <c r="E27" s="130"/>
      <c r="F27" s="130"/>
      <c r="G27" s="130"/>
      <c r="H27" s="130"/>
      <c r="I27" s="130"/>
      <c r="J27" s="130"/>
      <c r="K27" s="127">
        <f>C27-SUM(D27:G27,H27:I27,J27)</f>
        <v>30</v>
      </c>
      <c r="M27" s="2"/>
      <c r="N27" s="6" t="s">
        <v>440</v>
      </c>
      <c r="O27" s="213">
        <f>'Exits 2024'!D21</f>
        <v>0</v>
      </c>
      <c r="P27" s="130"/>
      <c r="Q27" s="131"/>
      <c r="R27" s="131"/>
      <c r="S27" s="131"/>
      <c r="T27" s="131"/>
      <c r="U27" s="131"/>
      <c r="V27" s="131"/>
      <c r="W27" s="127">
        <f t="shared" si="20"/>
        <v>0</v>
      </c>
      <c r="Y27" s="2"/>
      <c r="Z27" s="6" t="s">
        <v>440</v>
      </c>
      <c r="AA27" s="213">
        <f>'Exits 2024'!E21</f>
        <v>0</v>
      </c>
      <c r="AB27" s="130"/>
      <c r="AC27" s="131"/>
      <c r="AD27" s="131"/>
      <c r="AE27" s="131"/>
      <c r="AF27" s="131"/>
      <c r="AG27" s="131"/>
      <c r="AH27" s="131"/>
      <c r="AI27" s="127">
        <f t="shared" si="21"/>
        <v>0</v>
      </c>
      <c r="AK27" s="2"/>
      <c r="AL27" s="6" t="s">
        <v>440</v>
      </c>
      <c r="AM27" s="213">
        <f>'Exits 2024'!F21</f>
        <v>0</v>
      </c>
      <c r="AN27" s="130"/>
      <c r="AO27" s="131"/>
      <c r="AP27" s="131"/>
      <c r="AQ27" s="131"/>
      <c r="AR27" s="131"/>
      <c r="AS27" s="131"/>
      <c r="AT27" s="131"/>
      <c r="AU27" s="127">
        <f t="shared" si="22"/>
        <v>0</v>
      </c>
      <c r="AW27" s="2"/>
      <c r="AX27" s="6" t="s">
        <v>440</v>
      </c>
      <c r="AY27" s="213">
        <f>'Exits 2024'!G21</f>
        <v>0</v>
      </c>
      <c r="AZ27" s="130"/>
      <c r="BA27" s="131"/>
      <c r="BB27" s="131"/>
      <c r="BC27" s="131"/>
      <c r="BD27" s="131"/>
      <c r="BE27" s="131"/>
      <c r="BF27" s="131"/>
      <c r="BG27" s="127">
        <f t="shared" si="23"/>
        <v>0</v>
      </c>
      <c r="BI27" s="69" t="str">
        <f t="shared" si="24"/>
        <v/>
      </c>
      <c r="BK27" s="246"/>
    </row>
    <row r="28" spans="1:63" x14ac:dyDescent="0.35">
      <c r="A28" s="4" t="s">
        <v>5</v>
      </c>
      <c r="B28" s="220"/>
      <c r="C28" s="212" t="str">
        <f t="shared" ref="C28:K28" si="25">C$18</f>
        <v>Total</v>
      </c>
      <c r="D28" s="221" t="str">
        <f>D$18</f>
        <v>Employment</v>
      </c>
      <c r="E28" s="221" t="str">
        <f t="shared" ref="E28:J28" si="26">E$18</f>
        <v>Education</v>
      </c>
      <c r="F28" s="221" t="str">
        <f t="shared" si="26"/>
        <v>Apprenticeship</v>
      </c>
      <c r="G28" s="221" t="str">
        <f t="shared" si="26"/>
        <v>Traineeship</v>
      </c>
      <c r="H28" s="221" t="str">
        <f t="shared" si="26"/>
        <v>Unemployment</v>
      </c>
      <c r="I28" s="221" t="str">
        <f t="shared" si="26"/>
        <v>Inactivity</v>
      </c>
      <c r="J28" s="221" t="str">
        <f t="shared" si="26"/>
        <v>Not applicable</v>
      </c>
      <c r="K28" s="223" t="str">
        <f t="shared" si="25"/>
        <v>Unknown</v>
      </c>
      <c r="M28" s="224" t="s">
        <v>5</v>
      </c>
      <c r="N28" s="220"/>
      <c r="O28" s="212" t="str">
        <f t="shared" ref="O28:W28" si="27">O$18</f>
        <v>Total</v>
      </c>
      <c r="P28" s="221" t="str">
        <f t="shared" si="27"/>
        <v>Employment</v>
      </c>
      <c r="Q28" s="221" t="str">
        <f t="shared" si="27"/>
        <v>Education</v>
      </c>
      <c r="R28" s="221" t="str">
        <f t="shared" si="27"/>
        <v>Apprenticeship</v>
      </c>
      <c r="S28" s="221" t="str">
        <f t="shared" si="27"/>
        <v>Traineeship</v>
      </c>
      <c r="T28" s="221" t="str">
        <f t="shared" si="27"/>
        <v>Unemployment</v>
      </c>
      <c r="U28" s="222" t="str">
        <f t="shared" si="27"/>
        <v>Inactivity</v>
      </c>
      <c r="V28" s="222" t="str">
        <f t="shared" si="27"/>
        <v>Not applicable</v>
      </c>
      <c r="W28" s="223" t="str">
        <f t="shared" si="27"/>
        <v>Unknown</v>
      </c>
      <c r="Y28" s="224" t="s">
        <v>5</v>
      </c>
      <c r="Z28" s="220"/>
      <c r="AA28" s="212" t="str">
        <f t="shared" ref="AA28:AI28" si="28">AA$18</f>
        <v>Total</v>
      </c>
      <c r="AB28" s="221" t="str">
        <f t="shared" si="28"/>
        <v>Employment</v>
      </c>
      <c r="AC28" s="221" t="str">
        <f t="shared" si="28"/>
        <v>Education</v>
      </c>
      <c r="AD28" s="221" t="str">
        <f t="shared" si="28"/>
        <v>Apprenticeship</v>
      </c>
      <c r="AE28" s="221" t="str">
        <f t="shared" si="28"/>
        <v>Traineeship</v>
      </c>
      <c r="AF28" s="221" t="str">
        <f t="shared" si="28"/>
        <v>Unemployment</v>
      </c>
      <c r="AG28" s="222" t="str">
        <f t="shared" si="28"/>
        <v>Inactivity</v>
      </c>
      <c r="AH28" s="222" t="str">
        <f t="shared" si="28"/>
        <v>Not applicable</v>
      </c>
      <c r="AI28" s="223" t="str">
        <f t="shared" si="28"/>
        <v>Unknown</v>
      </c>
      <c r="AK28" s="224" t="s">
        <v>5</v>
      </c>
      <c r="AL28" s="220"/>
      <c r="AM28" s="212" t="str">
        <f t="shared" ref="AM28:AU28" si="29">AM$18</f>
        <v>Total</v>
      </c>
      <c r="AN28" s="221" t="str">
        <f t="shared" si="29"/>
        <v>Employment</v>
      </c>
      <c r="AO28" s="221" t="str">
        <f t="shared" si="29"/>
        <v>Education</v>
      </c>
      <c r="AP28" s="221" t="str">
        <f t="shared" si="29"/>
        <v>Apprenticeship</v>
      </c>
      <c r="AQ28" s="221" t="str">
        <f t="shared" si="29"/>
        <v>Traineeship</v>
      </c>
      <c r="AR28" s="221" t="str">
        <f t="shared" si="29"/>
        <v>Unemployment</v>
      </c>
      <c r="AS28" s="222" t="str">
        <f t="shared" si="29"/>
        <v>Inactivity</v>
      </c>
      <c r="AT28" s="222" t="str">
        <f t="shared" si="29"/>
        <v>Not applicable</v>
      </c>
      <c r="AU28" s="223" t="str">
        <f t="shared" si="29"/>
        <v>Unknown</v>
      </c>
      <c r="AW28" s="224" t="s">
        <v>5</v>
      </c>
      <c r="AX28" s="220"/>
      <c r="AY28" s="212" t="str">
        <f t="shared" ref="AY28:BG28" si="30">AY$18</f>
        <v>Total</v>
      </c>
      <c r="AZ28" s="221" t="str">
        <f t="shared" si="30"/>
        <v>Employment</v>
      </c>
      <c r="BA28" s="221" t="str">
        <f t="shared" si="30"/>
        <v>Education</v>
      </c>
      <c r="BB28" s="221" t="str">
        <f t="shared" si="30"/>
        <v>Apprenticeship</v>
      </c>
      <c r="BC28" s="221" t="str">
        <f t="shared" si="30"/>
        <v>Traineeship</v>
      </c>
      <c r="BD28" s="221" t="str">
        <f t="shared" si="30"/>
        <v>Unemployment</v>
      </c>
      <c r="BE28" s="222" t="str">
        <f t="shared" si="30"/>
        <v>Inactivity</v>
      </c>
      <c r="BF28" s="222" t="str">
        <f t="shared" si="30"/>
        <v>Not applicable</v>
      </c>
      <c r="BG28" s="223" t="str">
        <f t="shared" si="30"/>
        <v>Unknown</v>
      </c>
      <c r="BI28" s="69"/>
      <c r="BK28" s="246"/>
    </row>
    <row r="29" spans="1:63" x14ac:dyDescent="0.35">
      <c r="A29" s="2"/>
      <c r="B29" s="6" t="s">
        <v>441</v>
      </c>
      <c r="C29" s="218">
        <f>'Exits 2024'!C23</f>
        <v>253</v>
      </c>
      <c r="D29" s="130"/>
      <c r="E29" s="130"/>
      <c r="F29" s="130"/>
      <c r="G29" s="130"/>
      <c r="H29" s="130"/>
      <c r="I29" s="130"/>
      <c r="J29" s="130"/>
      <c r="K29" s="127">
        <f>C29-SUM(D29:G29,H29:I29,J29)</f>
        <v>253</v>
      </c>
      <c r="M29" s="2"/>
      <c r="N29" s="6" t="s">
        <v>441</v>
      </c>
      <c r="O29" s="213">
        <f>'Exits 2024'!D23</f>
        <v>0</v>
      </c>
      <c r="P29" s="130"/>
      <c r="Q29" s="130"/>
      <c r="R29" s="130"/>
      <c r="S29" s="130"/>
      <c r="T29" s="130"/>
      <c r="U29" s="130"/>
      <c r="V29" s="131"/>
      <c r="W29" s="127">
        <f t="shared" ref="W29:W31" si="31">O29-SUM(P29:S29,T29:U29,V29)</f>
        <v>0</v>
      </c>
      <c r="Y29" s="2"/>
      <c r="Z29" s="6" t="s">
        <v>441</v>
      </c>
      <c r="AA29" s="213">
        <f>'Exits 2024'!E23</f>
        <v>0</v>
      </c>
      <c r="AB29" s="130"/>
      <c r="AC29" s="130"/>
      <c r="AD29" s="130"/>
      <c r="AE29" s="130"/>
      <c r="AF29" s="130"/>
      <c r="AG29" s="130"/>
      <c r="AH29" s="131"/>
      <c r="AI29" s="127">
        <f t="shared" ref="AI29:AI31" si="32">AA29-SUM(AB29:AE29,AF29:AG29,AH29)</f>
        <v>0</v>
      </c>
      <c r="AK29" s="2"/>
      <c r="AL29" s="6" t="s">
        <v>441</v>
      </c>
      <c r="AM29" s="213">
        <f>'Exits 2024'!F23</f>
        <v>0</v>
      </c>
      <c r="AN29" s="130"/>
      <c r="AO29" s="130"/>
      <c r="AP29" s="130"/>
      <c r="AQ29" s="130"/>
      <c r="AR29" s="130"/>
      <c r="AS29" s="130"/>
      <c r="AT29" s="131"/>
      <c r="AU29" s="127">
        <f t="shared" ref="AU29:AU31" si="33">AM29-SUM(AN29:AQ29,AR29:AS29,AT29)</f>
        <v>0</v>
      </c>
      <c r="AW29" s="2"/>
      <c r="AX29" s="6" t="s">
        <v>441</v>
      </c>
      <c r="AY29" s="213">
        <f>'Exits 2024'!G23</f>
        <v>0</v>
      </c>
      <c r="AZ29" s="130"/>
      <c r="BA29" s="130"/>
      <c r="BB29" s="130"/>
      <c r="BC29" s="130"/>
      <c r="BD29" s="130"/>
      <c r="BE29" s="130"/>
      <c r="BF29" s="131"/>
      <c r="BG29" s="127">
        <f t="shared" ref="BG29:BG31" si="34">AY29-SUM(AZ29:BC29,BD29:BE29,BF29)</f>
        <v>0</v>
      </c>
      <c r="BI29" s="69" t="str">
        <f>IF(OR(K29&lt;0,W29&lt;0,AI29&lt;0,AU29&lt;0,BG29&lt;0),"!! Total must be &gt;= sum by situation",IF(OR(C29&lt;SUM(O29,AA29,AM29,AY29),D29&lt;SUM(P29,AB29,AN29,AZ29),E29&lt;SUM(Q29,AC29,AO29,BA29),F29&lt;SUM(R29,AD29,AP29,BB29),G29&lt;SUM(S29,AE29,AQ29,BC29),H29&lt;SUM(T29,AF29,AR29,BD29),I29&lt;SUM(U29,AG29,AS29,BE29),J29&lt;SUM(V29,AH29,AT29,BF29)),"!! Values in FU1 must be &gt;= sum of values in FU2 - FU5",""))</f>
        <v/>
      </c>
      <c r="BK29" s="246"/>
    </row>
    <row r="30" spans="1:63" x14ac:dyDescent="0.35">
      <c r="A30" s="2"/>
      <c r="B30" s="6" t="s">
        <v>6</v>
      </c>
      <c r="C30" s="218">
        <f>'Exits 2024'!C24</f>
        <v>131</v>
      </c>
      <c r="D30" s="130"/>
      <c r="E30" s="130"/>
      <c r="F30" s="130"/>
      <c r="G30" s="130"/>
      <c r="H30" s="130"/>
      <c r="I30" s="130"/>
      <c r="J30" s="130"/>
      <c r="K30" s="127">
        <f>C30-SUM(D30:G30,H30:I30,J30)</f>
        <v>131</v>
      </c>
      <c r="M30" s="2"/>
      <c r="N30" s="6" t="s">
        <v>6</v>
      </c>
      <c r="O30" s="213">
        <f>'Exits 2024'!D24</f>
        <v>0</v>
      </c>
      <c r="P30" s="130"/>
      <c r="Q30" s="131"/>
      <c r="R30" s="131"/>
      <c r="S30" s="131"/>
      <c r="T30" s="131"/>
      <c r="U30" s="131"/>
      <c r="V30" s="131"/>
      <c r="W30" s="127">
        <f t="shared" si="31"/>
        <v>0</v>
      </c>
      <c r="Y30" s="2"/>
      <c r="Z30" s="6" t="s">
        <v>6</v>
      </c>
      <c r="AA30" s="213">
        <f>'Exits 2024'!E24</f>
        <v>0</v>
      </c>
      <c r="AB30" s="130"/>
      <c r="AC30" s="131"/>
      <c r="AD30" s="131"/>
      <c r="AE30" s="131"/>
      <c r="AF30" s="131"/>
      <c r="AG30" s="131"/>
      <c r="AH30" s="131"/>
      <c r="AI30" s="127">
        <f t="shared" si="32"/>
        <v>0</v>
      </c>
      <c r="AK30" s="2"/>
      <c r="AL30" s="6" t="s">
        <v>6</v>
      </c>
      <c r="AM30" s="213">
        <f>'Exits 2024'!F24</f>
        <v>0</v>
      </c>
      <c r="AN30" s="130"/>
      <c r="AO30" s="131"/>
      <c r="AP30" s="131"/>
      <c r="AQ30" s="131"/>
      <c r="AR30" s="131"/>
      <c r="AS30" s="131"/>
      <c r="AT30" s="131"/>
      <c r="AU30" s="127">
        <f t="shared" si="33"/>
        <v>0</v>
      </c>
      <c r="AW30" s="2"/>
      <c r="AX30" s="6" t="s">
        <v>6</v>
      </c>
      <c r="AY30" s="213">
        <f>'Exits 2024'!G24</f>
        <v>0</v>
      </c>
      <c r="AZ30" s="130"/>
      <c r="BA30" s="131"/>
      <c r="BB30" s="131"/>
      <c r="BC30" s="131"/>
      <c r="BD30" s="131"/>
      <c r="BE30" s="131"/>
      <c r="BF30" s="131"/>
      <c r="BG30" s="127">
        <f t="shared" si="34"/>
        <v>0</v>
      </c>
      <c r="BI30" s="69" t="str">
        <f>IF(OR(K30&lt;0,W30&lt;0,AI30&lt;0,AU30&lt;0,BG30&lt;0),"!! Total must be &gt;= sum by situation",IF(OR(C30&lt;SUM(O30,AA30,AM30,AY30),D30&lt;SUM(P30,AB30,AN30,AZ30),E30&lt;SUM(Q30,AC30,AO30,BA30),F30&lt;SUM(R30,AD30,AP30,BB30),G30&lt;SUM(S30,AE30,AQ30,BC30),H30&lt;SUM(T30,AF30,AR30,BD30),I30&lt;SUM(U30,AG30,AS30,BE30),J30&lt;SUM(V30,AH30,AT30,BF30)),"!! Values in FU1 must be &gt;= sum of values in FU2 - FU5",""))</f>
        <v/>
      </c>
      <c r="BK30" s="246"/>
    </row>
    <row r="31" spans="1:63" x14ac:dyDescent="0.35">
      <c r="A31" s="2"/>
      <c r="B31" s="6" t="s">
        <v>7</v>
      </c>
      <c r="C31" s="218">
        <f>'Exits 2024'!C25</f>
        <v>81</v>
      </c>
      <c r="D31" s="130"/>
      <c r="E31" s="130"/>
      <c r="F31" s="130"/>
      <c r="G31" s="130"/>
      <c r="H31" s="130"/>
      <c r="I31" s="130"/>
      <c r="J31" s="130"/>
      <c r="K31" s="127">
        <f>C31-SUM(D31:G31,H31:I31,J31)</f>
        <v>81</v>
      </c>
      <c r="M31" s="2"/>
      <c r="N31" s="6" t="s">
        <v>7</v>
      </c>
      <c r="O31" s="213">
        <f>'Exits 2024'!D25</f>
        <v>0</v>
      </c>
      <c r="P31" s="130"/>
      <c r="Q31" s="130"/>
      <c r="R31" s="130"/>
      <c r="S31" s="130"/>
      <c r="T31" s="130"/>
      <c r="U31" s="130"/>
      <c r="V31" s="131"/>
      <c r="W31" s="127">
        <f t="shared" si="31"/>
        <v>0</v>
      </c>
      <c r="Y31" s="2"/>
      <c r="Z31" s="6" t="s">
        <v>7</v>
      </c>
      <c r="AA31" s="213">
        <f>'Exits 2024'!E25</f>
        <v>0</v>
      </c>
      <c r="AB31" s="130"/>
      <c r="AC31" s="130"/>
      <c r="AD31" s="130"/>
      <c r="AE31" s="130"/>
      <c r="AF31" s="130"/>
      <c r="AG31" s="130"/>
      <c r="AH31" s="131"/>
      <c r="AI31" s="127">
        <f t="shared" si="32"/>
        <v>0</v>
      </c>
      <c r="AK31" s="2"/>
      <c r="AL31" s="6" t="s">
        <v>7</v>
      </c>
      <c r="AM31" s="213">
        <f>'Exits 2024'!F25</f>
        <v>0</v>
      </c>
      <c r="AN31" s="130"/>
      <c r="AO31" s="130"/>
      <c r="AP31" s="130"/>
      <c r="AQ31" s="130"/>
      <c r="AR31" s="130"/>
      <c r="AS31" s="130"/>
      <c r="AT31" s="131"/>
      <c r="AU31" s="127">
        <f t="shared" si="33"/>
        <v>0</v>
      </c>
      <c r="AW31" s="2"/>
      <c r="AX31" s="6" t="s">
        <v>7</v>
      </c>
      <c r="AY31" s="213">
        <f>'Exits 2024'!G25</f>
        <v>0</v>
      </c>
      <c r="AZ31" s="130"/>
      <c r="BA31" s="130"/>
      <c r="BB31" s="130"/>
      <c r="BC31" s="130"/>
      <c r="BD31" s="130"/>
      <c r="BE31" s="130"/>
      <c r="BF31" s="131"/>
      <c r="BG31" s="127">
        <f t="shared" si="34"/>
        <v>0</v>
      </c>
      <c r="BI31" s="69" t="str">
        <f t="shared" ref="BI31:BI32" si="35">IF(OR(K31&lt;0,W31&lt;0,AI31&lt;0,AU31&lt;0,BG31&lt;0),"!! Total must be &gt;= sum by situation",IF(OR(C31&lt;SUM(O31,AA31,AM31,AY31),D31&lt;SUM(P31,AB31,AN31,AZ31),E31&lt;SUM(Q31,AC31,AO31,BA31),F31&lt;SUM(R31,AD31,AP31,BB31),G31&lt;SUM(S31,AE31,AQ31,BC31),H31&lt;SUM(T31,AF31,AR31,BD31),I31&lt;SUM(U31,AG31,AS31,BE31),J31&lt;SUM(V31,AH31,AT31,BF31)),"!! Values in FU1 must be &gt;= sum of values in FU2 - FU5",""))</f>
        <v/>
      </c>
      <c r="BK31" s="246"/>
    </row>
    <row r="32" spans="1:63" ht="15" thickBot="1" x14ac:dyDescent="0.4">
      <c r="A32" s="2"/>
      <c r="B32" s="6" t="s">
        <v>440</v>
      </c>
      <c r="C32" s="218">
        <f>'Exits 2024'!C26</f>
        <v>38</v>
      </c>
      <c r="D32" s="130"/>
      <c r="E32" s="130"/>
      <c r="F32" s="130"/>
      <c r="G32" s="130"/>
      <c r="H32" s="130"/>
      <c r="I32" s="130"/>
      <c r="J32" s="130"/>
      <c r="K32" s="127">
        <f>C32-SUM(D32:G32,H32:I32,J32)</f>
        <v>38</v>
      </c>
      <c r="M32" s="2"/>
      <c r="N32" s="6" t="s">
        <v>440</v>
      </c>
      <c r="O32" s="213">
        <f>'Exits 2024'!D26</f>
        <v>0</v>
      </c>
      <c r="P32" s="130"/>
      <c r="Q32" s="131"/>
      <c r="R32" s="131"/>
      <c r="S32" s="131"/>
      <c r="T32" s="131"/>
      <c r="U32" s="131"/>
      <c r="V32" s="131"/>
      <c r="W32" s="127">
        <f>O32-SUM(P32:S32,T32:U32,V32)</f>
        <v>0</v>
      </c>
      <c r="Y32" s="2"/>
      <c r="Z32" s="6" t="s">
        <v>440</v>
      </c>
      <c r="AA32" s="213">
        <f>'Exits 2024'!E26</f>
        <v>0</v>
      </c>
      <c r="AB32" s="130"/>
      <c r="AC32" s="131"/>
      <c r="AD32" s="131"/>
      <c r="AE32" s="131"/>
      <c r="AF32" s="131"/>
      <c r="AG32" s="131"/>
      <c r="AH32" s="131"/>
      <c r="AI32" s="127">
        <f>AA32-SUM(AB32:AE32,AF32:AG32,AH32)</f>
        <v>0</v>
      </c>
      <c r="AK32" s="2"/>
      <c r="AL32" s="6" t="s">
        <v>440</v>
      </c>
      <c r="AM32" s="213">
        <f>'Exits 2024'!F26</f>
        <v>0</v>
      </c>
      <c r="AN32" s="130"/>
      <c r="AO32" s="131"/>
      <c r="AP32" s="131"/>
      <c r="AQ32" s="131"/>
      <c r="AR32" s="131"/>
      <c r="AS32" s="131"/>
      <c r="AT32" s="131"/>
      <c r="AU32" s="127">
        <f>AM32-SUM(AN32:AQ32,AR32:AS32,AT32)</f>
        <v>0</v>
      </c>
      <c r="AW32" s="2"/>
      <c r="AX32" s="6" t="s">
        <v>440</v>
      </c>
      <c r="AY32" s="213">
        <f>'Exits 2024'!G26</f>
        <v>0</v>
      </c>
      <c r="AZ32" s="130"/>
      <c r="BA32" s="131"/>
      <c r="BB32" s="131"/>
      <c r="BC32" s="131"/>
      <c r="BD32" s="131"/>
      <c r="BE32" s="131"/>
      <c r="BF32" s="131"/>
      <c r="BG32" s="127">
        <f>AY32-SUM(AZ32:BC32,BD32:BE32,BF32)</f>
        <v>0</v>
      </c>
      <c r="BI32" s="69" t="str">
        <f t="shared" si="35"/>
        <v/>
      </c>
      <c r="BK32" s="246"/>
    </row>
    <row r="33" spans="1:63" ht="15" thickTop="1" x14ac:dyDescent="0.35">
      <c r="A33" s="117" t="s">
        <v>162</v>
      </c>
      <c r="B33" s="118"/>
      <c r="C33" s="214"/>
      <c r="D33" s="180"/>
      <c r="E33" s="181"/>
      <c r="F33" s="181"/>
      <c r="G33" s="181"/>
      <c r="H33" s="181"/>
      <c r="I33" s="181"/>
      <c r="J33" s="181"/>
      <c r="K33" s="119"/>
      <c r="M33" s="117" t="s">
        <v>162</v>
      </c>
      <c r="N33" s="118"/>
      <c r="O33" s="214"/>
      <c r="P33" s="180"/>
      <c r="Q33" s="181"/>
      <c r="R33" s="181"/>
      <c r="S33" s="181"/>
      <c r="T33" s="181"/>
      <c r="U33" s="181"/>
      <c r="V33" s="181"/>
      <c r="W33" s="119"/>
      <c r="Y33" s="117" t="s">
        <v>162</v>
      </c>
      <c r="Z33" s="118"/>
      <c r="AA33" s="214"/>
      <c r="AB33" s="180"/>
      <c r="AC33" s="181"/>
      <c r="AD33" s="181"/>
      <c r="AE33" s="181"/>
      <c r="AF33" s="181"/>
      <c r="AG33" s="181"/>
      <c r="AH33" s="181"/>
      <c r="AI33" s="119"/>
      <c r="AK33" s="117" t="s">
        <v>162</v>
      </c>
      <c r="AL33" s="118"/>
      <c r="AM33" s="214"/>
      <c r="AN33" s="180"/>
      <c r="AO33" s="181"/>
      <c r="AP33" s="181"/>
      <c r="AQ33" s="181"/>
      <c r="AR33" s="181"/>
      <c r="AS33" s="181"/>
      <c r="AT33" s="181"/>
      <c r="AU33" s="119"/>
      <c r="AW33" s="117" t="s">
        <v>162</v>
      </c>
      <c r="AX33" s="118"/>
      <c r="AY33" s="214"/>
      <c r="AZ33" s="180"/>
      <c r="BA33" s="181"/>
      <c r="BB33" s="181"/>
      <c r="BC33" s="181"/>
      <c r="BD33" s="181"/>
      <c r="BE33" s="181"/>
      <c r="BF33" s="181"/>
      <c r="BG33" s="119"/>
      <c r="BI33" s="69"/>
      <c r="BK33" s="246"/>
    </row>
    <row r="34" spans="1:63" ht="15" hidden="1" customHeight="1" x14ac:dyDescent="0.35">
      <c r="A34" s="14" t="str">
        <f>A33</f>
        <v>12 months after exit</v>
      </c>
      <c r="B34" s="15"/>
      <c r="C34" s="215"/>
      <c r="D34" s="182"/>
      <c r="E34" s="182"/>
      <c r="F34" s="182"/>
      <c r="G34" s="182"/>
      <c r="H34" s="182"/>
      <c r="I34" s="182"/>
      <c r="J34" s="183"/>
      <c r="K34" s="34" t="e">
        <f>#REF!</f>
        <v>#REF!</v>
      </c>
      <c r="M34" s="14" t="str">
        <f>M33</f>
        <v>12 months after exit</v>
      </c>
      <c r="N34" s="15"/>
      <c r="O34" s="215" t="e">
        <f>#REF!</f>
        <v>#REF!</v>
      </c>
      <c r="P34" s="182" t="e">
        <f>#REF!</f>
        <v>#REF!</v>
      </c>
      <c r="Q34" s="182" t="e">
        <f>#REF!</f>
        <v>#REF!</v>
      </c>
      <c r="R34" s="182" t="e">
        <f>#REF!</f>
        <v>#REF!</v>
      </c>
      <c r="S34" s="182" t="e">
        <f>#REF!</f>
        <v>#REF!</v>
      </c>
      <c r="T34" s="182" t="e">
        <f>#REF!</f>
        <v>#REF!</v>
      </c>
      <c r="U34" s="182" t="e">
        <f>#REF!</f>
        <v>#REF!</v>
      </c>
      <c r="V34" s="183"/>
      <c r="W34" s="34" t="e">
        <f>#REF!</f>
        <v>#REF!</v>
      </c>
      <c r="Y34" s="14" t="str">
        <f>Y33</f>
        <v>12 months after exit</v>
      </c>
      <c r="Z34" s="15"/>
      <c r="AA34" s="215" t="e">
        <f>#REF!</f>
        <v>#REF!</v>
      </c>
      <c r="AB34" s="182" t="e">
        <f>#REF!</f>
        <v>#REF!</v>
      </c>
      <c r="AC34" s="182" t="e">
        <f>#REF!</f>
        <v>#REF!</v>
      </c>
      <c r="AD34" s="182" t="e">
        <f>#REF!</f>
        <v>#REF!</v>
      </c>
      <c r="AE34" s="182" t="e">
        <f>#REF!</f>
        <v>#REF!</v>
      </c>
      <c r="AF34" s="182" t="e">
        <f>#REF!</f>
        <v>#REF!</v>
      </c>
      <c r="AG34" s="182" t="e">
        <f>#REF!</f>
        <v>#REF!</v>
      </c>
      <c r="AH34" s="183"/>
      <c r="AI34" s="34" t="e">
        <f>#REF!</f>
        <v>#REF!</v>
      </c>
      <c r="AK34" s="14" t="str">
        <f>AK33</f>
        <v>12 months after exit</v>
      </c>
      <c r="AL34" s="15"/>
      <c r="AM34" s="215" t="e">
        <f>#REF!</f>
        <v>#REF!</v>
      </c>
      <c r="AN34" s="182" t="e">
        <f>#REF!</f>
        <v>#REF!</v>
      </c>
      <c r="AO34" s="182" t="e">
        <f>#REF!</f>
        <v>#REF!</v>
      </c>
      <c r="AP34" s="182" t="e">
        <f>#REF!</f>
        <v>#REF!</v>
      </c>
      <c r="AQ34" s="182" t="e">
        <f>#REF!</f>
        <v>#REF!</v>
      </c>
      <c r="AR34" s="182" t="e">
        <f>#REF!</f>
        <v>#REF!</v>
      </c>
      <c r="AS34" s="182" t="e">
        <f>#REF!</f>
        <v>#REF!</v>
      </c>
      <c r="AT34" s="183"/>
      <c r="AU34" s="34" t="e">
        <f>#REF!</f>
        <v>#REF!</v>
      </c>
      <c r="AW34" s="14" t="str">
        <f>AW33</f>
        <v>12 months after exit</v>
      </c>
      <c r="AX34" s="15"/>
      <c r="AY34" s="215" t="e">
        <f>#REF!</f>
        <v>#REF!</v>
      </c>
      <c r="AZ34" s="182" t="e">
        <f>#REF!</f>
        <v>#REF!</v>
      </c>
      <c r="BA34" s="182" t="e">
        <f>#REF!</f>
        <v>#REF!</v>
      </c>
      <c r="BB34" s="182" t="e">
        <f>#REF!</f>
        <v>#REF!</v>
      </c>
      <c r="BC34" s="182" t="e">
        <f>#REF!</f>
        <v>#REF!</v>
      </c>
      <c r="BD34" s="182" t="e">
        <f>#REF!</f>
        <v>#REF!</v>
      </c>
      <c r="BE34" s="182" t="e">
        <f>#REF!</f>
        <v>#REF!</v>
      </c>
      <c r="BF34" s="183"/>
      <c r="BG34" s="34" t="e">
        <f>#REF!</f>
        <v>#REF!</v>
      </c>
      <c r="BI34" s="69"/>
      <c r="BK34" s="246"/>
    </row>
    <row r="35" spans="1:63" x14ac:dyDescent="0.35">
      <c r="A35" s="224" t="s">
        <v>106</v>
      </c>
      <c r="B35" s="220"/>
      <c r="C35" s="212" t="str">
        <f t="shared" ref="C35:K35" si="36">C$18</f>
        <v>Total</v>
      </c>
      <c r="D35" s="221" t="str">
        <f>D$18</f>
        <v>Employment</v>
      </c>
      <c r="E35" s="221" t="str">
        <f t="shared" ref="E35:J35" si="37">E$18</f>
        <v>Education</v>
      </c>
      <c r="F35" s="221" t="str">
        <f t="shared" si="37"/>
        <v>Apprenticeship</v>
      </c>
      <c r="G35" s="221" t="str">
        <f t="shared" si="37"/>
        <v>Traineeship</v>
      </c>
      <c r="H35" s="221" t="str">
        <f t="shared" si="37"/>
        <v>Unemployment</v>
      </c>
      <c r="I35" s="221" t="str">
        <f t="shared" si="37"/>
        <v>Inactivity</v>
      </c>
      <c r="J35" s="221" t="str">
        <f t="shared" si="37"/>
        <v>Not applicable</v>
      </c>
      <c r="K35" s="223" t="str">
        <f t="shared" si="36"/>
        <v>Unknown</v>
      </c>
      <c r="M35" s="224" t="s">
        <v>106</v>
      </c>
      <c r="N35" s="220"/>
      <c r="O35" s="212" t="str">
        <f t="shared" ref="O35:W35" si="38">O$18</f>
        <v>Total</v>
      </c>
      <c r="P35" s="221" t="str">
        <f t="shared" si="38"/>
        <v>Employment</v>
      </c>
      <c r="Q35" s="221" t="str">
        <f t="shared" si="38"/>
        <v>Education</v>
      </c>
      <c r="R35" s="221" t="str">
        <f t="shared" si="38"/>
        <v>Apprenticeship</v>
      </c>
      <c r="S35" s="221" t="str">
        <f t="shared" si="38"/>
        <v>Traineeship</v>
      </c>
      <c r="T35" s="221" t="str">
        <f t="shared" si="38"/>
        <v>Unemployment</v>
      </c>
      <c r="U35" s="222" t="str">
        <f t="shared" si="38"/>
        <v>Inactivity</v>
      </c>
      <c r="V35" s="222" t="str">
        <f t="shared" si="38"/>
        <v>Not applicable</v>
      </c>
      <c r="W35" s="223" t="str">
        <f t="shared" si="38"/>
        <v>Unknown</v>
      </c>
      <c r="Y35" s="224" t="s">
        <v>106</v>
      </c>
      <c r="Z35" s="220"/>
      <c r="AA35" s="212" t="str">
        <f t="shared" ref="AA35:AI35" si="39">AA$18</f>
        <v>Total</v>
      </c>
      <c r="AB35" s="221" t="str">
        <f t="shared" si="39"/>
        <v>Employment</v>
      </c>
      <c r="AC35" s="221" t="str">
        <f t="shared" si="39"/>
        <v>Education</v>
      </c>
      <c r="AD35" s="221" t="str">
        <f t="shared" si="39"/>
        <v>Apprenticeship</v>
      </c>
      <c r="AE35" s="221" t="str">
        <f t="shared" si="39"/>
        <v>Traineeship</v>
      </c>
      <c r="AF35" s="221" t="str">
        <f t="shared" si="39"/>
        <v>Unemployment</v>
      </c>
      <c r="AG35" s="222" t="str">
        <f t="shared" si="39"/>
        <v>Inactivity</v>
      </c>
      <c r="AH35" s="222" t="str">
        <f t="shared" si="39"/>
        <v>Not applicable</v>
      </c>
      <c r="AI35" s="223" t="str">
        <f t="shared" si="39"/>
        <v>Unknown</v>
      </c>
      <c r="AK35" s="224" t="s">
        <v>106</v>
      </c>
      <c r="AL35" s="220"/>
      <c r="AM35" s="212" t="str">
        <f t="shared" ref="AM35:AU35" si="40">AM$18</f>
        <v>Total</v>
      </c>
      <c r="AN35" s="221" t="str">
        <f t="shared" si="40"/>
        <v>Employment</v>
      </c>
      <c r="AO35" s="221" t="str">
        <f t="shared" si="40"/>
        <v>Education</v>
      </c>
      <c r="AP35" s="221" t="str">
        <f t="shared" si="40"/>
        <v>Apprenticeship</v>
      </c>
      <c r="AQ35" s="221" t="str">
        <f t="shared" si="40"/>
        <v>Traineeship</v>
      </c>
      <c r="AR35" s="221" t="str">
        <f t="shared" si="40"/>
        <v>Unemployment</v>
      </c>
      <c r="AS35" s="222" t="str">
        <f t="shared" si="40"/>
        <v>Inactivity</v>
      </c>
      <c r="AT35" s="222" t="str">
        <f t="shared" si="40"/>
        <v>Not applicable</v>
      </c>
      <c r="AU35" s="223" t="str">
        <f t="shared" si="40"/>
        <v>Unknown</v>
      </c>
      <c r="AW35" s="224" t="s">
        <v>106</v>
      </c>
      <c r="AX35" s="220"/>
      <c r="AY35" s="212" t="str">
        <f t="shared" ref="AY35:BG35" si="41">AY$18</f>
        <v>Total</v>
      </c>
      <c r="AZ35" s="221" t="str">
        <f t="shared" si="41"/>
        <v>Employment</v>
      </c>
      <c r="BA35" s="221" t="str">
        <f t="shared" si="41"/>
        <v>Education</v>
      </c>
      <c r="BB35" s="221" t="str">
        <f t="shared" si="41"/>
        <v>Apprenticeship</v>
      </c>
      <c r="BC35" s="221" t="str">
        <f t="shared" si="41"/>
        <v>Traineeship</v>
      </c>
      <c r="BD35" s="221" t="str">
        <f t="shared" si="41"/>
        <v>Unemployment</v>
      </c>
      <c r="BE35" s="222" t="str">
        <f t="shared" si="41"/>
        <v>Inactivity</v>
      </c>
      <c r="BF35" s="222" t="str">
        <f t="shared" si="41"/>
        <v>Not applicable</v>
      </c>
      <c r="BG35" s="223" t="str">
        <f t="shared" si="41"/>
        <v>Unknown</v>
      </c>
      <c r="BI35" s="69" t="str" cm="1">
        <f t="array" ref="BI35">IF(OR(SUM(IF(O36:W39&lt;(O41:W44+O46:W49),1,0)),SUM(IF(C36:K39&lt;(C41:K44+C46:K49),1,0)),SUM(IF(AA36:AI39&lt;(AA41:AI44+AA46:AI49),1,0)), SUM(IF(AM36:AU39&lt;(AM41:AU44+AM46:AU49),1,0)), SUM(IF(AY36:BG39&lt;(AY41:BG44+AY46:BG49),1,0))),"!! Check sum by sex for one or more columns/rows","")</f>
        <v/>
      </c>
      <c r="BK35" s="246"/>
    </row>
    <row r="36" spans="1:63" x14ac:dyDescent="0.35">
      <c r="A36" s="2"/>
      <c r="B36" s="6" t="s">
        <v>441</v>
      </c>
      <c r="C36" s="213">
        <f>'Exits 2024'!C13</f>
        <v>542</v>
      </c>
      <c r="D36" s="130"/>
      <c r="E36" s="130"/>
      <c r="F36" s="130"/>
      <c r="G36" s="130"/>
      <c r="H36" s="130"/>
      <c r="I36" s="130"/>
      <c r="J36" s="130"/>
      <c r="K36" s="127">
        <f t="shared" ref="K36:K38" si="42">C36-SUM(D36:G36,H36:I36,J36)</f>
        <v>542</v>
      </c>
      <c r="M36" s="2"/>
      <c r="N36" s="6" t="s">
        <v>441</v>
      </c>
      <c r="O36" s="213">
        <f>'Exits 2024'!D13</f>
        <v>0</v>
      </c>
      <c r="P36" s="130"/>
      <c r="Q36" s="131"/>
      <c r="R36" s="131"/>
      <c r="S36" s="131"/>
      <c r="T36" s="131"/>
      <c r="U36" s="131"/>
      <c r="V36" s="131"/>
      <c r="W36" s="127">
        <f t="shared" ref="W36:W38" si="43">O36-SUM(P36:S36,T36:U36,V36)</f>
        <v>0</v>
      </c>
      <c r="Y36" s="2"/>
      <c r="Z36" s="6" t="s">
        <v>441</v>
      </c>
      <c r="AA36" s="213">
        <f>'Exits 2024'!E13</f>
        <v>0</v>
      </c>
      <c r="AB36" s="130"/>
      <c r="AC36" s="131"/>
      <c r="AD36" s="131"/>
      <c r="AE36" s="131"/>
      <c r="AF36" s="131"/>
      <c r="AG36" s="131"/>
      <c r="AH36" s="131"/>
      <c r="AI36" s="127">
        <f t="shared" ref="AI36:AI38" si="44">AA36-SUM(AB36:AE36,AF36:AG36,AH36)</f>
        <v>0</v>
      </c>
      <c r="AK36" s="2"/>
      <c r="AL36" s="6" t="s">
        <v>441</v>
      </c>
      <c r="AM36" s="213">
        <f>'Exits 2024'!F13</f>
        <v>0</v>
      </c>
      <c r="AN36" s="130"/>
      <c r="AO36" s="131"/>
      <c r="AP36" s="131"/>
      <c r="AQ36" s="131"/>
      <c r="AR36" s="131"/>
      <c r="AS36" s="131"/>
      <c r="AT36" s="131"/>
      <c r="AU36" s="127">
        <f t="shared" ref="AU36:AU38" si="45">AM36-SUM(AN36:AQ36,AR36:AS36,AT36)</f>
        <v>0</v>
      </c>
      <c r="AW36" s="2"/>
      <c r="AX36" s="6" t="s">
        <v>441</v>
      </c>
      <c r="AY36" s="213">
        <f>'Exits 2024'!G13</f>
        <v>0</v>
      </c>
      <c r="AZ36" s="130"/>
      <c r="BA36" s="131"/>
      <c r="BB36" s="131"/>
      <c r="BC36" s="131"/>
      <c r="BD36" s="131"/>
      <c r="BE36" s="131"/>
      <c r="BF36" s="131"/>
      <c r="BG36" s="127">
        <f t="shared" ref="BG36:BG38" si="46">AY36-SUM(AZ36:BC36,BD36:BE36,BF36)</f>
        <v>0</v>
      </c>
      <c r="BI36" s="69" t="str">
        <f>IF(OR(K36&lt;0,W36&lt;0,AI36&lt;0,AU36&lt;0,BG36&lt;0),"!! Total must be &gt;= sum by situation",IF(OR(C36&lt;SUM(O36,AA36,AM36,AY36),D36&lt;SUM(P36,AB36,AN36,AZ36),E36&lt;SUM(Q36,AC36,AO36,BA36),F36&lt;SUM(R36,AD36,AP36,BB36),G36&lt;SUM(S36,AE36,AQ36,BC36),H36&lt;SUM(T36,AF36,AR36,BD36),I36&lt;SUM(U36,AG36,AS36,BE36),J36&lt;SUM(V36,AH36,AT36,BF36)),"!! Values in FU1 must be &gt;= sum of values in FU2 - FU5",""))</f>
        <v/>
      </c>
      <c r="BK36" s="246"/>
    </row>
    <row r="37" spans="1:63" x14ac:dyDescent="0.35">
      <c r="A37" s="2"/>
      <c r="B37" s="6" t="s">
        <v>6</v>
      </c>
      <c r="C37" s="213">
        <f>'Exits 2024'!C14</f>
        <v>278</v>
      </c>
      <c r="D37" s="130"/>
      <c r="E37" s="130"/>
      <c r="F37" s="130"/>
      <c r="G37" s="130"/>
      <c r="H37" s="130"/>
      <c r="I37" s="130"/>
      <c r="J37" s="130"/>
      <c r="K37" s="127">
        <f t="shared" si="42"/>
        <v>278</v>
      </c>
      <c r="M37" s="2"/>
      <c r="N37" s="6" t="s">
        <v>6</v>
      </c>
      <c r="O37" s="213">
        <f>'Exits 2024'!D14</f>
        <v>0</v>
      </c>
      <c r="P37" s="130"/>
      <c r="Q37" s="131"/>
      <c r="R37" s="131"/>
      <c r="S37" s="131"/>
      <c r="T37" s="131"/>
      <c r="U37" s="131"/>
      <c r="V37" s="131"/>
      <c r="W37" s="127">
        <f t="shared" si="43"/>
        <v>0</v>
      </c>
      <c r="Y37" s="2"/>
      <c r="Z37" s="6" t="s">
        <v>6</v>
      </c>
      <c r="AA37" s="213">
        <f>'Exits 2024'!E14</f>
        <v>0</v>
      </c>
      <c r="AB37" s="130"/>
      <c r="AC37" s="131"/>
      <c r="AD37" s="131"/>
      <c r="AE37" s="131"/>
      <c r="AF37" s="131"/>
      <c r="AG37" s="131"/>
      <c r="AH37" s="131"/>
      <c r="AI37" s="127">
        <f t="shared" si="44"/>
        <v>0</v>
      </c>
      <c r="AK37" s="2"/>
      <c r="AL37" s="6" t="s">
        <v>6</v>
      </c>
      <c r="AM37" s="213">
        <f>'Exits 2024'!F14</f>
        <v>0</v>
      </c>
      <c r="AN37" s="130"/>
      <c r="AO37" s="131"/>
      <c r="AP37" s="131"/>
      <c r="AQ37" s="131"/>
      <c r="AR37" s="131"/>
      <c r="AS37" s="131"/>
      <c r="AT37" s="131"/>
      <c r="AU37" s="127">
        <f t="shared" si="45"/>
        <v>0</v>
      </c>
      <c r="AW37" s="2"/>
      <c r="AX37" s="6" t="s">
        <v>6</v>
      </c>
      <c r="AY37" s="213">
        <f>'Exits 2024'!G14</f>
        <v>0</v>
      </c>
      <c r="AZ37" s="130"/>
      <c r="BA37" s="131"/>
      <c r="BB37" s="131"/>
      <c r="BC37" s="131"/>
      <c r="BD37" s="131"/>
      <c r="BE37" s="131"/>
      <c r="BF37" s="131"/>
      <c r="BG37" s="127">
        <f t="shared" si="46"/>
        <v>0</v>
      </c>
      <c r="BI37" s="69" t="str">
        <f>IF(OR(K37&lt;0,W37&lt;0,AI37&lt;0,AU37&lt;0,BG37&lt;0),"!! Total must be &gt;= sum by situation",IF(OR(C37&lt;SUM(O37,AA37,AM37,AY37),D37&lt;SUM(P37,AB37,AN37,AZ37),E37&lt;SUM(Q37,AC37,AO37,BA37),F37&lt;SUM(R37,AD37,AP37,BB37),G37&lt;SUM(S37,AE37,AQ37,BC37),H37&lt;SUM(T37,AF37,AR37,BD37),I37&lt;SUM(U37,AG37,AS37,BE37),J37&lt;SUM(V37,AH37,AT37,BF37)),"!! Values in FU1 must be &gt;= sum of values in FU2 - FU5",""))</f>
        <v/>
      </c>
      <c r="BK37" s="246"/>
    </row>
    <row r="38" spans="1:63" x14ac:dyDescent="0.35">
      <c r="A38" s="2"/>
      <c r="B38" s="6" t="s">
        <v>7</v>
      </c>
      <c r="C38" s="213">
        <f>'Exits 2024'!C15</f>
        <v>203</v>
      </c>
      <c r="D38" s="130"/>
      <c r="E38" s="130"/>
      <c r="F38" s="130"/>
      <c r="G38" s="130"/>
      <c r="H38" s="130"/>
      <c r="I38" s="130"/>
      <c r="J38" s="130"/>
      <c r="K38" s="127">
        <f t="shared" si="42"/>
        <v>203</v>
      </c>
      <c r="M38" s="2"/>
      <c r="N38" s="6" t="s">
        <v>7</v>
      </c>
      <c r="O38" s="213">
        <f>'Exits 2024'!D15</f>
        <v>0</v>
      </c>
      <c r="P38" s="130"/>
      <c r="Q38" s="130"/>
      <c r="R38" s="130"/>
      <c r="S38" s="130"/>
      <c r="T38" s="130"/>
      <c r="U38" s="130"/>
      <c r="V38" s="131"/>
      <c r="W38" s="127">
        <f t="shared" si="43"/>
        <v>0</v>
      </c>
      <c r="Y38" s="2"/>
      <c r="Z38" s="6" t="s">
        <v>7</v>
      </c>
      <c r="AA38" s="213">
        <f>'Exits 2024'!E15</f>
        <v>0</v>
      </c>
      <c r="AB38" s="130"/>
      <c r="AC38" s="131"/>
      <c r="AD38" s="131"/>
      <c r="AE38" s="131"/>
      <c r="AF38" s="131"/>
      <c r="AG38" s="131"/>
      <c r="AH38" s="131"/>
      <c r="AI38" s="127">
        <f t="shared" si="44"/>
        <v>0</v>
      </c>
      <c r="AK38" s="2"/>
      <c r="AL38" s="6" t="s">
        <v>7</v>
      </c>
      <c r="AM38" s="213">
        <f>'Exits 2024'!F15</f>
        <v>0</v>
      </c>
      <c r="AN38" s="130"/>
      <c r="AO38" s="130"/>
      <c r="AP38" s="130"/>
      <c r="AQ38" s="130"/>
      <c r="AR38" s="130"/>
      <c r="AS38" s="130"/>
      <c r="AT38" s="131"/>
      <c r="AU38" s="127">
        <f t="shared" si="45"/>
        <v>0</v>
      </c>
      <c r="AW38" s="2"/>
      <c r="AX38" s="6" t="s">
        <v>7</v>
      </c>
      <c r="AY38" s="213">
        <f>'Exits 2024'!G15</f>
        <v>0</v>
      </c>
      <c r="AZ38" s="130"/>
      <c r="BA38" s="130"/>
      <c r="BB38" s="130"/>
      <c r="BC38" s="130"/>
      <c r="BD38" s="130"/>
      <c r="BE38" s="130"/>
      <c r="BF38" s="131"/>
      <c r="BG38" s="127">
        <f t="shared" si="46"/>
        <v>0</v>
      </c>
      <c r="BI38" s="69" t="str">
        <f t="shared" ref="BI38:BI39" si="47">IF(OR(K38&lt;0,W38&lt;0,AI38&lt;0,AU38&lt;0,BG38&lt;0),"!! Total must be &gt;= sum by situation",IF(OR(C38&lt;SUM(O38,AA38,AM38,AY38),D38&lt;SUM(P38,AB38,AN38,AZ38),E38&lt;SUM(Q38,AC38,AO38,BA38),F38&lt;SUM(R38,AD38,AP38,BB38),G38&lt;SUM(S38,AE38,AQ38,BC38),H38&lt;SUM(T38,AF38,AR38,BD38),I38&lt;SUM(U38,AG38,AS38,BE38),J38&lt;SUM(V38,AH38,AT38,BF38)),"!! Values in FU1 must be &gt;= sum of values in FU2 - FU5",""))</f>
        <v/>
      </c>
      <c r="BK38" s="246"/>
    </row>
    <row r="39" spans="1:63" x14ac:dyDescent="0.35">
      <c r="A39" s="2"/>
      <c r="B39" s="6" t="s">
        <v>440</v>
      </c>
      <c r="C39" s="213">
        <f>'Exits 2024'!C16</f>
        <v>68</v>
      </c>
      <c r="D39" s="130"/>
      <c r="E39" s="130"/>
      <c r="F39" s="130"/>
      <c r="G39" s="130"/>
      <c r="H39" s="130"/>
      <c r="I39" s="130"/>
      <c r="J39" s="130"/>
      <c r="K39" s="127">
        <f>C39-SUM(D39:G39,H39:I39,J39)</f>
        <v>68</v>
      </c>
      <c r="M39" s="2"/>
      <c r="N39" s="6" t="s">
        <v>440</v>
      </c>
      <c r="O39" s="213">
        <f>'Exits 2024'!D16</f>
        <v>0</v>
      </c>
      <c r="P39" s="130"/>
      <c r="Q39" s="131"/>
      <c r="R39" s="131"/>
      <c r="S39" s="131"/>
      <c r="T39" s="131"/>
      <c r="U39" s="131"/>
      <c r="V39" s="131"/>
      <c r="W39" s="127">
        <f>O39-SUM(P39:S39,T39:U39,V39)</f>
        <v>0</v>
      </c>
      <c r="Y39" s="2"/>
      <c r="Z39" s="6" t="s">
        <v>440</v>
      </c>
      <c r="AA39" s="213">
        <f>'Exits 2024'!E16</f>
        <v>0</v>
      </c>
      <c r="AB39" s="130"/>
      <c r="AC39" s="131"/>
      <c r="AD39" s="131"/>
      <c r="AE39" s="131"/>
      <c r="AF39" s="131"/>
      <c r="AG39" s="131"/>
      <c r="AH39" s="131"/>
      <c r="AI39" s="127">
        <f>AA39-SUM(AB39:AE39,AF39:AG39,AH39)</f>
        <v>0</v>
      </c>
      <c r="AK39" s="2"/>
      <c r="AL39" s="6" t="s">
        <v>440</v>
      </c>
      <c r="AM39" s="213">
        <f>'Exits 2024'!F16</f>
        <v>0</v>
      </c>
      <c r="AN39" s="130"/>
      <c r="AO39" s="131"/>
      <c r="AP39" s="131"/>
      <c r="AQ39" s="131"/>
      <c r="AR39" s="131"/>
      <c r="AS39" s="131"/>
      <c r="AT39" s="131"/>
      <c r="AU39" s="127">
        <f>AM39-SUM(AN39:AQ39,AR39:AS39,AT39)</f>
        <v>0</v>
      </c>
      <c r="AW39" s="2"/>
      <c r="AX39" s="6" t="s">
        <v>440</v>
      </c>
      <c r="AY39" s="213">
        <f>'Exits 2024'!G16</f>
        <v>0</v>
      </c>
      <c r="AZ39" s="130"/>
      <c r="BA39" s="131"/>
      <c r="BB39" s="131"/>
      <c r="BC39" s="131"/>
      <c r="BD39" s="131"/>
      <c r="BE39" s="131"/>
      <c r="BF39" s="131"/>
      <c r="BG39" s="127">
        <f>AY39-SUM(AZ39:BC39,BD39:BE39,BF39)</f>
        <v>0</v>
      </c>
      <c r="BI39" s="69" t="str">
        <f t="shared" si="47"/>
        <v/>
      </c>
      <c r="BK39" s="246"/>
    </row>
    <row r="40" spans="1:63" x14ac:dyDescent="0.35">
      <c r="A40" s="4" t="s">
        <v>4</v>
      </c>
      <c r="B40" s="220"/>
      <c r="C40" s="212" t="str">
        <f t="shared" ref="C40:K40" si="48">C$18</f>
        <v>Total</v>
      </c>
      <c r="D40" s="221" t="str">
        <f>D$18</f>
        <v>Employment</v>
      </c>
      <c r="E40" s="221" t="str">
        <f t="shared" ref="E40:J40" si="49">E$18</f>
        <v>Education</v>
      </c>
      <c r="F40" s="221" t="str">
        <f t="shared" si="49"/>
        <v>Apprenticeship</v>
      </c>
      <c r="G40" s="221" t="str">
        <f t="shared" si="49"/>
        <v>Traineeship</v>
      </c>
      <c r="H40" s="221" t="str">
        <f t="shared" si="49"/>
        <v>Unemployment</v>
      </c>
      <c r="I40" s="221" t="str">
        <f t="shared" si="49"/>
        <v>Inactivity</v>
      </c>
      <c r="J40" s="221" t="str">
        <f t="shared" si="49"/>
        <v>Not applicable</v>
      </c>
      <c r="K40" s="223" t="str">
        <f t="shared" si="48"/>
        <v>Unknown</v>
      </c>
      <c r="M40" s="224" t="s">
        <v>4</v>
      </c>
      <c r="N40" s="220"/>
      <c r="O40" s="212" t="str">
        <f t="shared" ref="O40:W40" si="50">O$18</f>
        <v>Total</v>
      </c>
      <c r="P40" s="221" t="str">
        <f t="shared" si="50"/>
        <v>Employment</v>
      </c>
      <c r="Q40" s="221" t="str">
        <f t="shared" si="50"/>
        <v>Education</v>
      </c>
      <c r="R40" s="221" t="str">
        <f t="shared" si="50"/>
        <v>Apprenticeship</v>
      </c>
      <c r="S40" s="221" t="str">
        <f t="shared" si="50"/>
        <v>Traineeship</v>
      </c>
      <c r="T40" s="221" t="str">
        <f t="shared" si="50"/>
        <v>Unemployment</v>
      </c>
      <c r="U40" s="222" t="str">
        <f t="shared" si="50"/>
        <v>Inactivity</v>
      </c>
      <c r="V40" s="222" t="str">
        <f t="shared" si="50"/>
        <v>Not applicable</v>
      </c>
      <c r="W40" s="223" t="str">
        <f t="shared" si="50"/>
        <v>Unknown</v>
      </c>
      <c r="Y40" s="224" t="s">
        <v>4</v>
      </c>
      <c r="Z40" s="220"/>
      <c r="AA40" s="212" t="str">
        <f t="shared" ref="AA40:AI40" si="51">AA$18</f>
        <v>Total</v>
      </c>
      <c r="AB40" s="221" t="str">
        <f t="shared" si="51"/>
        <v>Employment</v>
      </c>
      <c r="AC40" s="221" t="str">
        <f t="shared" si="51"/>
        <v>Education</v>
      </c>
      <c r="AD40" s="221" t="str">
        <f t="shared" si="51"/>
        <v>Apprenticeship</v>
      </c>
      <c r="AE40" s="221" t="str">
        <f t="shared" si="51"/>
        <v>Traineeship</v>
      </c>
      <c r="AF40" s="221" t="str">
        <f t="shared" si="51"/>
        <v>Unemployment</v>
      </c>
      <c r="AG40" s="222" t="str">
        <f t="shared" si="51"/>
        <v>Inactivity</v>
      </c>
      <c r="AH40" s="222" t="str">
        <f t="shared" si="51"/>
        <v>Not applicable</v>
      </c>
      <c r="AI40" s="223" t="str">
        <f t="shared" si="51"/>
        <v>Unknown</v>
      </c>
      <c r="AK40" s="224" t="s">
        <v>4</v>
      </c>
      <c r="AL40" s="220"/>
      <c r="AM40" s="212" t="str">
        <f t="shared" ref="AM40:AU40" si="52">AM$18</f>
        <v>Total</v>
      </c>
      <c r="AN40" s="221" t="str">
        <f t="shared" si="52"/>
        <v>Employment</v>
      </c>
      <c r="AO40" s="221" t="str">
        <f t="shared" si="52"/>
        <v>Education</v>
      </c>
      <c r="AP40" s="221" t="str">
        <f t="shared" si="52"/>
        <v>Apprenticeship</v>
      </c>
      <c r="AQ40" s="221" t="str">
        <f t="shared" si="52"/>
        <v>Traineeship</v>
      </c>
      <c r="AR40" s="221" t="str">
        <f t="shared" si="52"/>
        <v>Unemployment</v>
      </c>
      <c r="AS40" s="222" t="str">
        <f t="shared" si="52"/>
        <v>Inactivity</v>
      </c>
      <c r="AT40" s="222" t="str">
        <f t="shared" si="52"/>
        <v>Not applicable</v>
      </c>
      <c r="AU40" s="223" t="str">
        <f t="shared" si="52"/>
        <v>Unknown</v>
      </c>
      <c r="AW40" s="224" t="s">
        <v>4</v>
      </c>
      <c r="AX40" s="220"/>
      <c r="AY40" s="212" t="str">
        <f t="shared" ref="AY40:BG40" si="53">AY$18</f>
        <v>Total</v>
      </c>
      <c r="AZ40" s="221" t="str">
        <f t="shared" si="53"/>
        <v>Employment</v>
      </c>
      <c r="BA40" s="221" t="str">
        <f t="shared" si="53"/>
        <v>Education</v>
      </c>
      <c r="BB40" s="221" t="str">
        <f t="shared" si="53"/>
        <v>Apprenticeship</v>
      </c>
      <c r="BC40" s="221" t="str">
        <f t="shared" si="53"/>
        <v>Traineeship</v>
      </c>
      <c r="BD40" s="221" t="str">
        <f t="shared" si="53"/>
        <v>Unemployment</v>
      </c>
      <c r="BE40" s="222" t="str">
        <f t="shared" si="53"/>
        <v>Inactivity</v>
      </c>
      <c r="BF40" s="222" t="str">
        <f t="shared" si="53"/>
        <v>Not applicable</v>
      </c>
      <c r="BG40" s="223" t="str">
        <f t="shared" si="53"/>
        <v>Unknown</v>
      </c>
      <c r="BI40" s="69"/>
      <c r="BK40" s="246"/>
    </row>
    <row r="41" spans="1:63" x14ac:dyDescent="0.35">
      <c r="A41" s="2"/>
      <c r="B41" s="6" t="s">
        <v>441</v>
      </c>
      <c r="C41" s="213">
        <f>'Exits 2024'!C18</f>
        <v>289</v>
      </c>
      <c r="D41" s="130"/>
      <c r="E41" s="131"/>
      <c r="F41" s="131"/>
      <c r="G41" s="131"/>
      <c r="H41" s="131"/>
      <c r="I41" s="131"/>
      <c r="J41" s="131"/>
      <c r="K41" s="127">
        <f>C41-SUM(D41:G41,H41:I41,J41)</f>
        <v>289</v>
      </c>
      <c r="M41" s="2"/>
      <c r="N41" s="6" t="s">
        <v>441</v>
      </c>
      <c r="O41" s="213">
        <f>'Exits 2024'!D18</f>
        <v>0</v>
      </c>
      <c r="P41" s="130"/>
      <c r="Q41" s="131"/>
      <c r="R41" s="131"/>
      <c r="S41" s="131"/>
      <c r="T41" s="131"/>
      <c r="U41" s="131"/>
      <c r="V41" s="131"/>
      <c r="W41" s="127">
        <f t="shared" ref="W41:W44" si="54">O41-SUM(P41:S41,T41:U41,V41)</f>
        <v>0</v>
      </c>
      <c r="Y41" s="2"/>
      <c r="Z41" s="6" t="s">
        <v>441</v>
      </c>
      <c r="AA41" s="213">
        <f>'Exits 2024'!E18</f>
        <v>0</v>
      </c>
      <c r="AB41" s="130"/>
      <c r="AC41" s="131"/>
      <c r="AD41" s="131"/>
      <c r="AE41" s="131"/>
      <c r="AF41" s="131"/>
      <c r="AG41" s="131"/>
      <c r="AH41" s="131"/>
      <c r="AI41" s="127">
        <f t="shared" ref="AI41:AI44" si="55">AA41-SUM(AB41:AE41,AF41:AG41,AH41)</f>
        <v>0</v>
      </c>
      <c r="AK41" s="2"/>
      <c r="AL41" s="6" t="s">
        <v>441</v>
      </c>
      <c r="AM41" s="213">
        <f>'Exits 2024'!F18</f>
        <v>0</v>
      </c>
      <c r="AN41" s="130"/>
      <c r="AO41" s="131"/>
      <c r="AP41" s="131"/>
      <c r="AQ41" s="131"/>
      <c r="AR41" s="131"/>
      <c r="AS41" s="131"/>
      <c r="AT41" s="131"/>
      <c r="AU41" s="127">
        <f t="shared" ref="AU41:AU44" si="56">AM41-SUM(AN41:AQ41,AR41:AS41,AT41)</f>
        <v>0</v>
      </c>
      <c r="AW41" s="2"/>
      <c r="AX41" s="6" t="s">
        <v>441</v>
      </c>
      <c r="AY41" s="213">
        <f>'Exits 2024'!G18</f>
        <v>0</v>
      </c>
      <c r="AZ41" s="130"/>
      <c r="BA41" s="131"/>
      <c r="BB41" s="131"/>
      <c r="BC41" s="131"/>
      <c r="BD41" s="131"/>
      <c r="BE41" s="131"/>
      <c r="BF41" s="131"/>
      <c r="BG41" s="127">
        <f t="shared" ref="BG41:BG44" si="57">AY41-SUM(AZ41:BC41,BD41:BE41,BF41)</f>
        <v>0</v>
      </c>
      <c r="BI41" s="69" t="str">
        <f>IF(OR(K41&lt;0,W41&lt;0,AI41&lt;0,AU41&lt;0,BG41&lt;0),"!! Total must be &gt;= sum by situation",IF(OR(C41&lt;SUM(O41,AA41,AM41,AY41),D41&lt;SUM(P41,AB41,AN41,AZ41),E41&lt;SUM(Q41,AC41,AO41,BA41),F41&lt;SUM(R41,AD41,AP41,BB41),G41&lt;SUM(S41,AE41,AQ41,BC41),H41&lt;SUM(T41,AF41,AR41,BD41),I41&lt;SUM(U41,AG41,AS41,BE41),J41&lt;SUM(V41,AH41,AT41,BF41)),"!! Values in FU1 must be &gt;= sum of values in FU2 - FU5",""))</f>
        <v/>
      </c>
      <c r="BK41" s="246"/>
    </row>
    <row r="42" spans="1:63" x14ac:dyDescent="0.35">
      <c r="A42" s="2"/>
      <c r="B42" s="6" t="s">
        <v>6</v>
      </c>
      <c r="C42" s="213">
        <f>'Exits 2024'!C19</f>
        <v>147</v>
      </c>
      <c r="D42" s="130"/>
      <c r="E42" s="131"/>
      <c r="F42" s="131"/>
      <c r="G42" s="131"/>
      <c r="H42" s="131"/>
      <c r="I42" s="131"/>
      <c r="J42" s="131"/>
      <c r="K42" s="127">
        <f>C42-SUM(D42:G42,H42:I42,J42)</f>
        <v>147</v>
      </c>
      <c r="M42" s="2"/>
      <c r="N42" s="6" t="s">
        <v>6</v>
      </c>
      <c r="O42" s="213">
        <f>'Exits 2024'!D19</f>
        <v>0</v>
      </c>
      <c r="P42" s="130"/>
      <c r="Q42" s="131"/>
      <c r="R42" s="131"/>
      <c r="S42" s="131"/>
      <c r="T42" s="131"/>
      <c r="U42" s="131"/>
      <c r="V42" s="131"/>
      <c r="W42" s="127">
        <f t="shared" si="54"/>
        <v>0</v>
      </c>
      <c r="Y42" s="2"/>
      <c r="Z42" s="6" t="s">
        <v>6</v>
      </c>
      <c r="AA42" s="213">
        <f>'Exits 2024'!E19</f>
        <v>0</v>
      </c>
      <c r="AB42" s="130"/>
      <c r="AC42" s="131"/>
      <c r="AD42" s="131"/>
      <c r="AE42" s="131"/>
      <c r="AF42" s="131"/>
      <c r="AG42" s="131"/>
      <c r="AH42" s="131"/>
      <c r="AI42" s="127">
        <f t="shared" si="55"/>
        <v>0</v>
      </c>
      <c r="AK42" s="2"/>
      <c r="AL42" s="6" t="s">
        <v>6</v>
      </c>
      <c r="AM42" s="213">
        <f>'Exits 2024'!F19</f>
        <v>0</v>
      </c>
      <c r="AN42" s="130"/>
      <c r="AO42" s="131"/>
      <c r="AP42" s="131"/>
      <c r="AQ42" s="131"/>
      <c r="AR42" s="131"/>
      <c r="AS42" s="131"/>
      <c r="AT42" s="131"/>
      <c r="AU42" s="127">
        <f t="shared" si="56"/>
        <v>0</v>
      </c>
      <c r="AW42" s="2"/>
      <c r="AX42" s="6" t="s">
        <v>6</v>
      </c>
      <c r="AY42" s="213">
        <f>'Exits 2024'!G19</f>
        <v>0</v>
      </c>
      <c r="AZ42" s="130"/>
      <c r="BA42" s="131"/>
      <c r="BB42" s="131"/>
      <c r="BC42" s="131"/>
      <c r="BD42" s="131"/>
      <c r="BE42" s="131"/>
      <c r="BF42" s="131"/>
      <c r="BG42" s="127">
        <f t="shared" si="57"/>
        <v>0</v>
      </c>
      <c r="BI42" s="69" t="str">
        <f>IF(OR(K42&lt;0,W42&lt;0,AI42&lt;0,AU42&lt;0,BG42&lt;0),"!! Total must be &gt;= sum by situation",IF(OR(C42&lt;SUM(O42,AA42,AM42,AY42),D42&lt;SUM(P42,AB42,AN42,AZ42),E42&lt;SUM(Q42,AC42,AO42,BA42),F42&lt;SUM(R42,AD42,AP42,BB42),G42&lt;SUM(S42,AE42,AQ42,BC42),H42&lt;SUM(T42,AF42,AR42,BD42),I42&lt;SUM(U42,AG42,AS42,BE42),J42&lt;SUM(V42,AH42,AT42,BF42)),"!! Values in FU1 must be &gt;= sum of values in FU2 - FU5",""))</f>
        <v/>
      </c>
      <c r="BK42" s="246"/>
    </row>
    <row r="43" spans="1:63" x14ac:dyDescent="0.35">
      <c r="A43" s="2"/>
      <c r="B43" s="6" t="s">
        <v>7</v>
      </c>
      <c r="C43" s="213">
        <f>'Exits 2024'!C20</f>
        <v>122</v>
      </c>
      <c r="D43" s="130"/>
      <c r="E43" s="130"/>
      <c r="F43" s="130"/>
      <c r="G43" s="130"/>
      <c r="H43" s="130"/>
      <c r="I43" s="130"/>
      <c r="J43" s="130"/>
      <c r="K43" s="127">
        <f t="shared" ref="K43:K44" si="58">C43-SUM(D43:G43,H43:I43,J43)</f>
        <v>122</v>
      </c>
      <c r="M43" s="2"/>
      <c r="N43" s="6" t="s">
        <v>7</v>
      </c>
      <c r="O43" s="213">
        <f>'Exits 2024'!D20</f>
        <v>0</v>
      </c>
      <c r="P43" s="130"/>
      <c r="Q43" s="130"/>
      <c r="R43" s="130"/>
      <c r="S43" s="130"/>
      <c r="T43" s="130"/>
      <c r="U43" s="130"/>
      <c r="V43" s="131"/>
      <c r="W43" s="127">
        <f t="shared" si="54"/>
        <v>0</v>
      </c>
      <c r="Y43" s="2"/>
      <c r="Z43" s="6" t="s">
        <v>7</v>
      </c>
      <c r="AA43" s="213">
        <f>'Exits 2024'!E20</f>
        <v>0</v>
      </c>
      <c r="AB43" s="130"/>
      <c r="AC43" s="131"/>
      <c r="AD43" s="131"/>
      <c r="AE43" s="131"/>
      <c r="AF43" s="131"/>
      <c r="AG43" s="131"/>
      <c r="AH43" s="131"/>
      <c r="AI43" s="127">
        <f t="shared" si="55"/>
        <v>0</v>
      </c>
      <c r="AK43" s="2"/>
      <c r="AL43" s="6" t="s">
        <v>7</v>
      </c>
      <c r="AM43" s="213">
        <f>'Exits 2024'!F20</f>
        <v>0</v>
      </c>
      <c r="AN43" s="130"/>
      <c r="AO43" s="130"/>
      <c r="AP43" s="130"/>
      <c r="AQ43" s="130"/>
      <c r="AR43" s="130"/>
      <c r="AS43" s="130"/>
      <c r="AT43" s="131"/>
      <c r="AU43" s="127">
        <f t="shared" si="56"/>
        <v>0</v>
      </c>
      <c r="AW43" s="2"/>
      <c r="AX43" s="6" t="s">
        <v>7</v>
      </c>
      <c r="AY43" s="213">
        <f>'Exits 2024'!G20</f>
        <v>0</v>
      </c>
      <c r="AZ43" s="130"/>
      <c r="BA43" s="130"/>
      <c r="BB43" s="130"/>
      <c r="BC43" s="130"/>
      <c r="BD43" s="130"/>
      <c r="BE43" s="130"/>
      <c r="BF43" s="131"/>
      <c r="BG43" s="127">
        <f t="shared" si="57"/>
        <v>0</v>
      </c>
      <c r="BI43" s="69" t="str">
        <f t="shared" ref="BI43:BI44" si="59">IF(OR(K43&lt;0,W43&lt;0,AI43&lt;0,AU43&lt;0,BG43&lt;0),"!! Total must be &gt;= sum by situation",IF(OR(C43&lt;SUM(O43,AA43,AM43,AY43),D43&lt;SUM(P43,AB43,AN43,AZ43),E43&lt;SUM(Q43,AC43,AO43,BA43),F43&lt;SUM(R43,AD43,AP43,BB43),G43&lt;SUM(S43,AE43,AQ43,BC43),H43&lt;SUM(T43,AF43,AR43,BD43),I43&lt;SUM(U43,AG43,AS43,BE43),J43&lt;SUM(V43,AH43,AT43,BF43)),"!! Values in FU1 must be &gt;= sum of values in FU2 - FU5",""))</f>
        <v/>
      </c>
      <c r="BK43" s="246"/>
    </row>
    <row r="44" spans="1:63" x14ac:dyDescent="0.35">
      <c r="A44" s="2"/>
      <c r="B44" s="6" t="s">
        <v>440</v>
      </c>
      <c r="C44" s="213">
        <f>'Exits 2024'!C21</f>
        <v>30</v>
      </c>
      <c r="D44" s="130"/>
      <c r="E44" s="131"/>
      <c r="F44" s="131"/>
      <c r="G44" s="131"/>
      <c r="H44" s="131"/>
      <c r="I44" s="131"/>
      <c r="J44" s="131"/>
      <c r="K44" s="127">
        <f t="shared" si="58"/>
        <v>30</v>
      </c>
      <c r="M44" s="2"/>
      <c r="N44" s="6" t="s">
        <v>440</v>
      </c>
      <c r="O44" s="213">
        <f>'Exits 2024'!D21</f>
        <v>0</v>
      </c>
      <c r="P44" s="130"/>
      <c r="Q44" s="131"/>
      <c r="R44" s="131"/>
      <c r="S44" s="131"/>
      <c r="T44" s="131"/>
      <c r="U44" s="131"/>
      <c r="V44" s="131"/>
      <c r="W44" s="127">
        <f t="shared" si="54"/>
        <v>0</v>
      </c>
      <c r="Y44" s="2"/>
      <c r="Z44" s="6" t="s">
        <v>440</v>
      </c>
      <c r="AA44" s="213">
        <f>'Exits 2024'!E21</f>
        <v>0</v>
      </c>
      <c r="AB44" s="130"/>
      <c r="AC44" s="131"/>
      <c r="AD44" s="131"/>
      <c r="AE44" s="131"/>
      <c r="AF44" s="131"/>
      <c r="AG44" s="131"/>
      <c r="AH44" s="131"/>
      <c r="AI44" s="127">
        <f t="shared" si="55"/>
        <v>0</v>
      </c>
      <c r="AK44" s="2"/>
      <c r="AL44" s="6" t="s">
        <v>440</v>
      </c>
      <c r="AM44" s="213">
        <f>'Exits 2024'!F21</f>
        <v>0</v>
      </c>
      <c r="AN44" s="130"/>
      <c r="AO44" s="131"/>
      <c r="AP44" s="131"/>
      <c r="AQ44" s="131"/>
      <c r="AR44" s="131"/>
      <c r="AS44" s="131"/>
      <c r="AT44" s="131"/>
      <c r="AU44" s="127">
        <f t="shared" si="56"/>
        <v>0</v>
      </c>
      <c r="AW44" s="2"/>
      <c r="AX44" s="6" t="s">
        <v>440</v>
      </c>
      <c r="AY44" s="213">
        <f>'Exits 2024'!G21</f>
        <v>0</v>
      </c>
      <c r="AZ44" s="130"/>
      <c r="BA44" s="131"/>
      <c r="BB44" s="131"/>
      <c r="BC44" s="131"/>
      <c r="BD44" s="131"/>
      <c r="BE44" s="131"/>
      <c r="BF44" s="131"/>
      <c r="BG44" s="127">
        <f t="shared" si="57"/>
        <v>0</v>
      </c>
      <c r="BI44" s="69" t="str">
        <f t="shared" si="59"/>
        <v/>
      </c>
      <c r="BK44" s="246"/>
    </row>
    <row r="45" spans="1:63" x14ac:dyDescent="0.35">
      <c r="A45" s="224" t="s">
        <v>5</v>
      </c>
      <c r="B45" s="220"/>
      <c r="C45" s="212" t="str">
        <f t="shared" ref="C45:K45" si="60">C$18</f>
        <v>Total</v>
      </c>
      <c r="D45" s="221" t="str">
        <f>D$18</f>
        <v>Employment</v>
      </c>
      <c r="E45" s="221" t="str">
        <f t="shared" ref="E45:J45" si="61">E$18</f>
        <v>Education</v>
      </c>
      <c r="F45" s="221" t="str">
        <f t="shared" si="61"/>
        <v>Apprenticeship</v>
      </c>
      <c r="G45" s="221" t="str">
        <f t="shared" si="61"/>
        <v>Traineeship</v>
      </c>
      <c r="H45" s="221" t="str">
        <f t="shared" si="61"/>
        <v>Unemployment</v>
      </c>
      <c r="I45" s="221" t="str">
        <f t="shared" si="61"/>
        <v>Inactivity</v>
      </c>
      <c r="J45" s="221" t="str">
        <f t="shared" si="61"/>
        <v>Not applicable</v>
      </c>
      <c r="K45" s="223" t="str">
        <f t="shared" si="60"/>
        <v>Unknown</v>
      </c>
      <c r="M45" s="224" t="s">
        <v>5</v>
      </c>
      <c r="N45" s="220"/>
      <c r="O45" s="212" t="str">
        <f t="shared" ref="O45:W45" si="62">O$18</f>
        <v>Total</v>
      </c>
      <c r="P45" s="221" t="str">
        <f t="shared" si="62"/>
        <v>Employment</v>
      </c>
      <c r="Q45" s="221" t="str">
        <f t="shared" si="62"/>
        <v>Education</v>
      </c>
      <c r="R45" s="221" t="str">
        <f t="shared" si="62"/>
        <v>Apprenticeship</v>
      </c>
      <c r="S45" s="221" t="str">
        <f t="shared" si="62"/>
        <v>Traineeship</v>
      </c>
      <c r="T45" s="221" t="str">
        <f t="shared" si="62"/>
        <v>Unemployment</v>
      </c>
      <c r="U45" s="222" t="str">
        <f t="shared" si="62"/>
        <v>Inactivity</v>
      </c>
      <c r="V45" s="222" t="str">
        <f t="shared" si="62"/>
        <v>Not applicable</v>
      </c>
      <c r="W45" s="223" t="str">
        <f t="shared" si="62"/>
        <v>Unknown</v>
      </c>
      <c r="Y45" s="224" t="s">
        <v>5</v>
      </c>
      <c r="Z45" s="220"/>
      <c r="AA45" s="212" t="str">
        <f t="shared" ref="AA45:AI45" si="63">AA$18</f>
        <v>Total</v>
      </c>
      <c r="AB45" s="221" t="str">
        <f t="shared" si="63"/>
        <v>Employment</v>
      </c>
      <c r="AC45" s="221" t="str">
        <f t="shared" si="63"/>
        <v>Education</v>
      </c>
      <c r="AD45" s="221" t="str">
        <f t="shared" si="63"/>
        <v>Apprenticeship</v>
      </c>
      <c r="AE45" s="221" t="str">
        <f t="shared" si="63"/>
        <v>Traineeship</v>
      </c>
      <c r="AF45" s="221" t="str">
        <f t="shared" si="63"/>
        <v>Unemployment</v>
      </c>
      <c r="AG45" s="222" t="str">
        <f t="shared" si="63"/>
        <v>Inactivity</v>
      </c>
      <c r="AH45" s="222" t="str">
        <f t="shared" si="63"/>
        <v>Not applicable</v>
      </c>
      <c r="AI45" s="223" t="str">
        <f t="shared" si="63"/>
        <v>Unknown</v>
      </c>
      <c r="AK45" s="224" t="s">
        <v>5</v>
      </c>
      <c r="AL45" s="220"/>
      <c r="AM45" s="212" t="str">
        <f t="shared" ref="AM45:AU45" si="64">AM$18</f>
        <v>Total</v>
      </c>
      <c r="AN45" s="221" t="str">
        <f t="shared" si="64"/>
        <v>Employment</v>
      </c>
      <c r="AO45" s="221" t="str">
        <f t="shared" si="64"/>
        <v>Education</v>
      </c>
      <c r="AP45" s="221" t="str">
        <f t="shared" si="64"/>
        <v>Apprenticeship</v>
      </c>
      <c r="AQ45" s="221" t="str">
        <f t="shared" si="64"/>
        <v>Traineeship</v>
      </c>
      <c r="AR45" s="221" t="str">
        <f t="shared" si="64"/>
        <v>Unemployment</v>
      </c>
      <c r="AS45" s="222" t="str">
        <f t="shared" si="64"/>
        <v>Inactivity</v>
      </c>
      <c r="AT45" s="222" t="str">
        <f t="shared" si="64"/>
        <v>Not applicable</v>
      </c>
      <c r="AU45" s="223" t="str">
        <f t="shared" si="64"/>
        <v>Unknown</v>
      </c>
      <c r="AW45" s="224" t="s">
        <v>5</v>
      </c>
      <c r="AX45" s="220"/>
      <c r="AY45" s="212" t="str">
        <f t="shared" ref="AY45:BG45" si="65">AY$18</f>
        <v>Total</v>
      </c>
      <c r="AZ45" s="221" t="str">
        <f t="shared" si="65"/>
        <v>Employment</v>
      </c>
      <c r="BA45" s="221" t="str">
        <f t="shared" si="65"/>
        <v>Education</v>
      </c>
      <c r="BB45" s="221" t="str">
        <f t="shared" si="65"/>
        <v>Apprenticeship</v>
      </c>
      <c r="BC45" s="221" t="str">
        <f t="shared" si="65"/>
        <v>Traineeship</v>
      </c>
      <c r="BD45" s="221" t="str">
        <f t="shared" si="65"/>
        <v>Unemployment</v>
      </c>
      <c r="BE45" s="222" t="str">
        <f t="shared" si="65"/>
        <v>Inactivity</v>
      </c>
      <c r="BF45" s="222" t="str">
        <f t="shared" si="65"/>
        <v>Not applicable</v>
      </c>
      <c r="BG45" s="223" t="str">
        <f t="shared" si="65"/>
        <v>Unknown</v>
      </c>
      <c r="BI45" s="69"/>
      <c r="BK45" s="246"/>
    </row>
    <row r="46" spans="1:63" x14ac:dyDescent="0.35">
      <c r="A46" s="2"/>
      <c r="B46" s="6" t="s">
        <v>441</v>
      </c>
      <c r="C46" s="213">
        <f>'Exits 2024'!C23</f>
        <v>253</v>
      </c>
      <c r="D46" s="130"/>
      <c r="E46" s="131"/>
      <c r="F46" s="131"/>
      <c r="G46" s="131"/>
      <c r="H46" s="131"/>
      <c r="I46" s="131"/>
      <c r="J46" s="131"/>
      <c r="K46" s="127">
        <f t="shared" ref="K46:K49" si="66">C46-SUM(D46:G46,H46:I46,J46)</f>
        <v>253</v>
      </c>
      <c r="M46" s="2"/>
      <c r="N46" s="6" t="s">
        <v>441</v>
      </c>
      <c r="O46" s="213">
        <f>'Exits 2024'!D23</f>
        <v>0</v>
      </c>
      <c r="P46" s="130"/>
      <c r="Q46" s="131"/>
      <c r="R46" s="131"/>
      <c r="S46" s="131"/>
      <c r="T46" s="131"/>
      <c r="U46" s="131"/>
      <c r="V46" s="131"/>
      <c r="W46" s="127">
        <f t="shared" ref="W46:W49" si="67">O46-SUM(P46:S46,T46:U46,V46)</f>
        <v>0</v>
      </c>
      <c r="Y46" s="2"/>
      <c r="Z46" s="6" t="s">
        <v>441</v>
      </c>
      <c r="AA46" s="213">
        <f>'Exits 2024'!E23</f>
        <v>0</v>
      </c>
      <c r="AB46" s="130"/>
      <c r="AC46" s="131"/>
      <c r="AD46" s="131"/>
      <c r="AE46" s="131"/>
      <c r="AF46" s="131"/>
      <c r="AG46" s="131"/>
      <c r="AH46" s="131"/>
      <c r="AI46" s="127">
        <f t="shared" ref="AI46:AI49" si="68">AA46-SUM(AB46:AE46,AF46:AG46,AH46)</f>
        <v>0</v>
      </c>
      <c r="AK46" s="2"/>
      <c r="AL46" s="6" t="s">
        <v>441</v>
      </c>
      <c r="AM46" s="213">
        <f>'Exits 2024'!F23</f>
        <v>0</v>
      </c>
      <c r="AN46" s="130"/>
      <c r="AO46" s="131"/>
      <c r="AP46" s="131"/>
      <c r="AQ46" s="131"/>
      <c r="AR46" s="131"/>
      <c r="AS46" s="131"/>
      <c r="AT46" s="131"/>
      <c r="AU46" s="127">
        <f t="shared" ref="AU46:AU49" si="69">AM46-SUM(AN46:AQ46,AR46:AS46,AT46)</f>
        <v>0</v>
      </c>
      <c r="AW46" s="2"/>
      <c r="AX46" s="6" t="s">
        <v>441</v>
      </c>
      <c r="AY46" s="213">
        <f>'Exits 2024'!G23</f>
        <v>0</v>
      </c>
      <c r="AZ46" s="130"/>
      <c r="BA46" s="131"/>
      <c r="BB46" s="131"/>
      <c r="BC46" s="131"/>
      <c r="BD46" s="131"/>
      <c r="BE46" s="131"/>
      <c r="BF46" s="131"/>
      <c r="BG46" s="127">
        <f t="shared" ref="BG46:BG49" si="70">AY46-SUM(AZ46:BC46,BD46:BE46,BF46)</f>
        <v>0</v>
      </c>
      <c r="BI46" s="69" t="str">
        <f>IF(OR(K46&lt;0,W46&lt;0,AI46&lt;0,AU46&lt;0,BG46&lt;0),"!! Total must be &gt;= sum by situation",IF(OR(C46&lt;SUM(O46,AA46,AM46,AY46),D46&lt;SUM(P46,AB46,AN46,AZ46),E46&lt;SUM(Q46,AC46,AO46,BA46),F46&lt;SUM(R46,AD46,AP46,BB46),G46&lt;SUM(S46,AE46,AQ46,BC46),H46&lt;SUM(T46,AF46,AR46,BD46),I46&lt;SUM(U46,AG46,AS46,BE46),J46&lt;SUM(V46,AH46,AT46,BF46)),"!! Values in FU1 must be &gt;= sum of values in FU2 - FU5",""))</f>
        <v/>
      </c>
      <c r="BK46" s="246"/>
    </row>
    <row r="47" spans="1:63" x14ac:dyDescent="0.35">
      <c r="A47" s="2"/>
      <c r="B47" s="6" t="s">
        <v>6</v>
      </c>
      <c r="C47" s="213">
        <f>'Exits 2024'!C24</f>
        <v>131</v>
      </c>
      <c r="D47" s="130"/>
      <c r="E47" s="131"/>
      <c r="F47" s="131"/>
      <c r="G47" s="131"/>
      <c r="H47" s="131"/>
      <c r="I47" s="131"/>
      <c r="J47" s="131"/>
      <c r="K47" s="127">
        <f t="shared" si="66"/>
        <v>131</v>
      </c>
      <c r="M47" s="2"/>
      <c r="N47" s="6" t="s">
        <v>6</v>
      </c>
      <c r="O47" s="213">
        <f>'Exits 2024'!D24</f>
        <v>0</v>
      </c>
      <c r="P47" s="130"/>
      <c r="Q47" s="131"/>
      <c r="R47" s="131"/>
      <c r="S47" s="131"/>
      <c r="T47" s="131"/>
      <c r="U47" s="131"/>
      <c r="V47" s="131"/>
      <c r="W47" s="127">
        <f t="shared" si="67"/>
        <v>0</v>
      </c>
      <c r="Y47" s="2"/>
      <c r="Z47" s="6" t="s">
        <v>6</v>
      </c>
      <c r="AA47" s="213">
        <f>'Exits 2024'!E24</f>
        <v>0</v>
      </c>
      <c r="AB47" s="130"/>
      <c r="AC47" s="131"/>
      <c r="AD47" s="131"/>
      <c r="AE47" s="131"/>
      <c r="AF47" s="131"/>
      <c r="AG47" s="131"/>
      <c r="AH47" s="131"/>
      <c r="AI47" s="127">
        <f t="shared" si="68"/>
        <v>0</v>
      </c>
      <c r="AK47" s="2"/>
      <c r="AL47" s="6" t="s">
        <v>6</v>
      </c>
      <c r="AM47" s="213">
        <f>'Exits 2024'!F24</f>
        <v>0</v>
      </c>
      <c r="AN47" s="130"/>
      <c r="AO47" s="131"/>
      <c r="AP47" s="131"/>
      <c r="AQ47" s="131"/>
      <c r="AR47" s="131"/>
      <c r="AS47" s="131"/>
      <c r="AT47" s="131"/>
      <c r="AU47" s="127">
        <f t="shared" si="69"/>
        <v>0</v>
      </c>
      <c r="AW47" s="2"/>
      <c r="AX47" s="6" t="s">
        <v>6</v>
      </c>
      <c r="AY47" s="213">
        <f>'Exits 2024'!G24</f>
        <v>0</v>
      </c>
      <c r="AZ47" s="130"/>
      <c r="BA47" s="131"/>
      <c r="BB47" s="131"/>
      <c r="BC47" s="131"/>
      <c r="BD47" s="131"/>
      <c r="BE47" s="131"/>
      <c r="BF47" s="131"/>
      <c r="BG47" s="127">
        <f t="shared" si="70"/>
        <v>0</v>
      </c>
      <c r="BI47" s="69" t="str">
        <f>IF(OR(K47&lt;0,W47&lt;0,AI47&lt;0,AU47&lt;0,BG47&lt;0),"!! Total must be &gt;= sum by situation",IF(OR(C47&lt;SUM(O47,AA47,AM47,AY47),D47&lt;SUM(P47,AB47,AN47,AZ47),E47&lt;SUM(Q47,AC47,AO47,BA47),F47&lt;SUM(R47,AD47,AP47,BB47),G47&lt;SUM(S47,AE47,AQ47,BC47),H47&lt;SUM(T47,AF47,AR47,BD47),I47&lt;SUM(U47,AG47,AS47,BE47),J47&lt;SUM(V47,AH47,AT47,BF47)),"!! Values in FU1 must be &gt;= sum of values in FU2 - FU5",""))</f>
        <v/>
      </c>
      <c r="BK47" s="246"/>
    </row>
    <row r="48" spans="1:63" x14ac:dyDescent="0.35">
      <c r="A48" s="2"/>
      <c r="B48" s="6" t="s">
        <v>7</v>
      </c>
      <c r="C48" s="213">
        <f>'Exits 2024'!C25</f>
        <v>81</v>
      </c>
      <c r="D48" s="130"/>
      <c r="E48" s="130"/>
      <c r="F48" s="130"/>
      <c r="G48" s="130"/>
      <c r="H48" s="130"/>
      <c r="I48" s="130"/>
      <c r="J48" s="130"/>
      <c r="K48" s="127">
        <f t="shared" si="66"/>
        <v>81</v>
      </c>
      <c r="M48" s="2"/>
      <c r="N48" s="6" t="s">
        <v>7</v>
      </c>
      <c r="O48" s="213">
        <f>'Exits 2024'!D25</f>
        <v>0</v>
      </c>
      <c r="P48" s="130"/>
      <c r="Q48" s="130"/>
      <c r="R48" s="130"/>
      <c r="S48" s="130"/>
      <c r="T48" s="130"/>
      <c r="U48" s="130"/>
      <c r="V48" s="131"/>
      <c r="W48" s="127">
        <f t="shared" si="67"/>
        <v>0</v>
      </c>
      <c r="Y48" s="2"/>
      <c r="Z48" s="6" t="s">
        <v>7</v>
      </c>
      <c r="AA48" s="213">
        <f>'Exits 2024'!E25</f>
        <v>0</v>
      </c>
      <c r="AB48" s="130"/>
      <c r="AC48" s="131"/>
      <c r="AD48" s="131"/>
      <c r="AE48" s="131"/>
      <c r="AF48" s="131"/>
      <c r="AG48" s="131"/>
      <c r="AH48" s="131"/>
      <c r="AI48" s="127">
        <f t="shared" si="68"/>
        <v>0</v>
      </c>
      <c r="AK48" s="2"/>
      <c r="AL48" s="6" t="s">
        <v>7</v>
      </c>
      <c r="AM48" s="213">
        <f>'Exits 2024'!F25</f>
        <v>0</v>
      </c>
      <c r="AN48" s="130"/>
      <c r="AO48" s="130"/>
      <c r="AP48" s="130"/>
      <c r="AQ48" s="130"/>
      <c r="AR48" s="130"/>
      <c r="AS48" s="130"/>
      <c r="AT48" s="131"/>
      <c r="AU48" s="127">
        <f t="shared" si="69"/>
        <v>0</v>
      </c>
      <c r="AW48" s="2"/>
      <c r="AX48" s="6" t="s">
        <v>7</v>
      </c>
      <c r="AY48" s="213">
        <f>'Exits 2024'!G25</f>
        <v>0</v>
      </c>
      <c r="AZ48" s="130"/>
      <c r="BA48" s="130"/>
      <c r="BB48" s="130"/>
      <c r="BC48" s="130"/>
      <c r="BD48" s="130"/>
      <c r="BE48" s="130"/>
      <c r="BF48" s="131"/>
      <c r="BG48" s="127">
        <f t="shared" si="70"/>
        <v>0</v>
      </c>
      <c r="BI48" s="69" t="str">
        <f t="shared" ref="BI48:BI49" si="71">IF(OR(K48&lt;0,W48&lt;0,AI48&lt;0,AU48&lt;0,BG48&lt;0),"!! Total must be &gt;= sum by situation",IF(OR(C48&lt;SUM(O48,AA48,AM48,AY48),D48&lt;SUM(P48,AB48,AN48,AZ48),E48&lt;SUM(Q48,AC48,AO48,BA48),F48&lt;SUM(R48,AD48,AP48,BB48),G48&lt;SUM(S48,AE48,AQ48,BC48),H48&lt;SUM(T48,AF48,AR48,BD48),I48&lt;SUM(U48,AG48,AS48,BE48),J48&lt;SUM(V48,AH48,AT48,BF48)),"!! Values in FU1 must be &gt;= sum of values in FU2 - FU5",""))</f>
        <v/>
      </c>
      <c r="BK48" s="246"/>
    </row>
    <row r="49" spans="1:63" ht="15" thickBot="1" x14ac:dyDescent="0.4">
      <c r="A49" s="3"/>
      <c r="B49" s="6" t="s">
        <v>440</v>
      </c>
      <c r="C49" s="216">
        <f>'Exits 2024'!C26</f>
        <v>38</v>
      </c>
      <c r="D49" s="133"/>
      <c r="E49" s="134"/>
      <c r="F49" s="134"/>
      <c r="G49" s="134"/>
      <c r="H49" s="134"/>
      <c r="I49" s="134"/>
      <c r="J49" s="134"/>
      <c r="K49" s="128">
        <f t="shared" si="66"/>
        <v>38</v>
      </c>
      <c r="M49" s="3"/>
      <c r="N49" s="6" t="s">
        <v>440</v>
      </c>
      <c r="O49" s="216">
        <f>'Exits 2024'!D26</f>
        <v>0</v>
      </c>
      <c r="P49" s="133"/>
      <c r="Q49" s="134"/>
      <c r="R49" s="134"/>
      <c r="S49" s="134"/>
      <c r="T49" s="134"/>
      <c r="U49" s="134"/>
      <c r="V49" s="134"/>
      <c r="W49" s="128">
        <f t="shared" si="67"/>
        <v>0</v>
      </c>
      <c r="Y49" s="3"/>
      <c r="Z49" s="6" t="s">
        <v>440</v>
      </c>
      <c r="AA49" s="216">
        <f>'Exits 2024'!E26</f>
        <v>0</v>
      </c>
      <c r="AB49" s="133"/>
      <c r="AC49" s="134"/>
      <c r="AD49" s="134"/>
      <c r="AE49" s="134"/>
      <c r="AF49" s="134"/>
      <c r="AG49" s="134"/>
      <c r="AH49" s="134"/>
      <c r="AI49" s="128">
        <f t="shared" si="68"/>
        <v>0</v>
      </c>
      <c r="AK49" s="3"/>
      <c r="AL49" s="6" t="s">
        <v>440</v>
      </c>
      <c r="AM49" s="216">
        <f>'Exits 2024'!F26</f>
        <v>0</v>
      </c>
      <c r="AN49" s="133"/>
      <c r="AO49" s="134"/>
      <c r="AP49" s="134"/>
      <c r="AQ49" s="134"/>
      <c r="AR49" s="134"/>
      <c r="AS49" s="134"/>
      <c r="AT49" s="134"/>
      <c r="AU49" s="128">
        <f t="shared" si="69"/>
        <v>0</v>
      </c>
      <c r="AW49" s="3"/>
      <c r="AX49" s="6" t="s">
        <v>440</v>
      </c>
      <c r="AY49" s="216">
        <f>'Exits 2024'!G26</f>
        <v>0</v>
      </c>
      <c r="AZ49" s="133"/>
      <c r="BA49" s="134"/>
      <c r="BB49" s="134"/>
      <c r="BC49" s="134"/>
      <c r="BD49" s="134"/>
      <c r="BE49" s="134"/>
      <c r="BF49" s="134"/>
      <c r="BG49" s="128">
        <f t="shared" si="70"/>
        <v>0</v>
      </c>
      <c r="BI49" s="69" t="str">
        <f t="shared" si="71"/>
        <v/>
      </c>
      <c r="BK49" s="246"/>
    </row>
    <row r="50" spans="1:63" ht="15" thickTop="1" x14ac:dyDescent="0.35">
      <c r="A50" s="117" t="s">
        <v>161</v>
      </c>
      <c r="B50" s="118"/>
      <c r="C50" s="217"/>
      <c r="D50" s="184"/>
      <c r="E50" s="185"/>
      <c r="F50" s="185"/>
      <c r="G50" s="185"/>
      <c r="H50" s="185"/>
      <c r="I50" s="185"/>
      <c r="J50" s="185"/>
      <c r="K50" s="32"/>
      <c r="M50" s="117" t="s">
        <v>161</v>
      </c>
      <c r="N50" s="118"/>
      <c r="O50" s="217"/>
      <c r="P50" s="184"/>
      <c r="Q50" s="185"/>
      <c r="R50" s="185"/>
      <c r="S50" s="185"/>
      <c r="T50" s="185"/>
      <c r="U50" s="185"/>
      <c r="V50" s="185"/>
      <c r="W50" s="32"/>
      <c r="Y50" s="117" t="s">
        <v>161</v>
      </c>
      <c r="Z50" s="118"/>
      <c r="AA50" s="217"/>
      <c r="AB50" s="184"/>
      <c r="AC50" s="185"/>
      <c r="AD50" s="185"/>
      <c r="AE50" s="185"/>
      <c r="AF50" s="185"/>
      <c r="AG50" s="185"/>
      <c r="AH50" s="185"/>
      <c r="AI50" s="32"/>
      <c r="AK50" s="117" t="s">
        <v>161</v>
      </c>
      <c r="AL50" s="118"/>
      <c r="AM50" s="217"/>
      <c r="AN50" s="184"/>
      <c r="AO50" s="185"/>
      <c r="AP50" s="185"/>
      <c r="AQ50" s="185"/>
      <c r="AR50" s="185"/>
      <c r="AS50" s="185"/>
      <c r="AT50" s="185"/>
      <c r="AU50" s="32"/>
      <c r="AW50" s="117" t="s">
        <v>161</v>
      </c>
      <c r="AX50" s="118"/>
      <c r="AY50" s="217"/>
      <c r="AZ50" s="184"/>
      <c r="BA50" s="185"/>
      <c r="BB50" s="185"/>
      <c r="BC50" s="185"/>
      <c r="BD50" s="185"/>
      <c r="BE50" s="185"/>
      <c r="BF50" s="185"/>
      <c r="BG50" s="32"/>
      <c r="BI50" s="69"/>
      <c r="BK50" s="246"/>
    </row>
    <row r="51" spans="1:63" ht="15" hidden="1" customHeight="1" x14ac:dyDescent="0.35">
      <c r="A51" s="14" t="str">
        <f>A50</f>
        <v>18 months after exit</v>
      </c>
      <c r="B51" s="15"/>
      <c r="C51" s="215" t="e">
        <f>#REF!</f>
        <v>#REF!</v>
      </c>
      <c r="D51" s="182" t="e">
        <f>#REF!</f>
        <v>#REF!</v>
      </c>
      <c r="E51" s="182" t="e">
        <f>#REF!</f>
        <v>#REF!</v>
      </c>
      <c r="F51" s="182" t="e">
        <f>#REF!</f>
        <v>#REF!</v>
      </c>
      <c r="G51" s="182" t="e">
        <f>#REF!</f>
        <v>#REF!</v>
      </c>
      <c r="H51" s="182" t="e">
        <f>#REF!</f>
        <v>#REF!</v>
      </c>
      <c r="I51" s="182" t="e">
        <f>#REF!</f>
        <v>#REF!</v>
      </c>
      <c r="J51" s="183"/>
      <c r="K51" s="34" t="e">
        <f>#REF!</f>
        <v>#REF!</v>
      </c>
      <c r="M51" s="14" t="str">
        <f>M50</f>
        <v>18 months after exit</v>
      </c>
      <c r="N51" s="15"/>
      <c r="O51" s="215" t="e">
        <f>#REF!</f>
        <v>#REF!</v>
      </c>
      <c r="P51" s="182" t="e">
        <f>#REF!</f>
        <v>#REF!</v>
      </c>
      <c r="Q51" s="182" t="e">
        <f>#REF!</f>
        <v>#REF!</v>
      </c>
      <c r="R51" s="182" t="e">
        <f>#REF!</f>
        <v>#REF!</v>
      </c>
      <c r="S51" s="182" t="e">
        <f>#REF!</f>
        <v>#REF!</v>
      </c>
      <c r="T51" s="182" t="e">
        <f>#REF!</f>
        <v>#REF!</v>
      </c>
      <c r="U51" s="182" t="e">
        <f>#REF!</f>
        <v>#REF!</v>
      </c>
      <c r="V51" s="183"/>
      <c r="W51" s="34" t="e">
        <f>#REF!</f>
        <v>#REF!</v>
      </c>
      <c r="Y51" s="14" t="str">
        <f>Y50</f>
        <v>18 months after exit</v>
      </c>
      <c r="Z51" s="15"/>
      <c r="AA51" s="215" t="e">
        <f>#REF!</f>
        <v>#REF!</v>
      </c>
      <c r="AB51" s="182" t="e">
        <f>#REF!</f>
        <v>#REF!</v>
      </c>
      <c r="AC51" s="182" t="e">
        <f>#REF!</f>
        <v>#REF!</v>
      </c>
      <c r="AD51" s="182" t="e">
        <f>#REF!</f>
        <v>#REF!</v>
      </c>
      <c r="AE51" s="182" t="e">
        <f>#REF!</f>
        <v>#REF!</v>
      </c>
      <c r="AF51" s="182" t="e">
        <f>#REF!</f>
        <v>#REF!</v>
      </c>
      <c r="AG51" s="182" t="e">
        <f>#REF!</f>
        <v>#REF!</v>
      </c>
      <c r="AH51" s="183"/>
      <c r="AI51" s="34" t="e">
        <f>#REF!</f>
        <v>#REF!</v>
      </c>
      <c r="AK51" s="14" t="str">
        <f>AK50</f>
        <v>18 months after exit</v>
      </c>
      <c r="AL51" s="15"/>
      <c r="AM51" s="215" t="e">
        <f>#REF!</f>
        <v>#REF!</v>
      </c>
      <c r="AN51" s="182" t="e">
        <f>#REF!</f>
        <v>#REF!</v>
      </c>
      <c r="AO51" s="182" t="e">
        <f>#REF!</f>
        <v>#REF!</v>
      </c>
      <c r="AP51" s="182" t="e">
        <f>#REF!</f>
        <v>#REF!</v>
      </c>
      <c r="AQ51" s="182" t="e">
        <f>#REF!</f>
        <v>#REF!</v>
      </c>
      <c r="AR51" s="182" t="e">
        <f>#REF!</f>
        <v>#REF!</v>
      </c>
      <c r="AS51" s="182" t="e">
        <f>#REF!</f>
        <v>#REF!</v>
      </c>
      <c r="AT51" s="183"/>
      <c r="AU51" s="34" t="e">
        <f>#REF!</f>
        <v>#REF!</v>
      </c>
      <c r="AW51" s="14" t="str">
        <f>AW50</f>
        <v>18 months after exit</v>
      </c>
      <c r="AX51" s="15"/>
      <c r="AY51" s="215" t="e">
        <f>#REF!</f>
        <v>#REF!</v>
      </c>
      <c r="AZ51" s="182" t="e">
        <f>#REF!</f>
        <v>#REF!</v>
      </c>
      <c r="BA51" s="182" t="e">
        <f>#REF!</f>
        <v>#REF!</v>
      </c>
      <c r="BB51" s="182" t="e">
        <f>#REF!</f>
        <v>#REF!</v>
      </c>
      <c r="BC51" s="182" t="e">
        <f>#REF!</f>
        <v>#REF!</v>
      </c>
      <c r="BD51" s="182" t="e">
        <f>#REF!</f>
        <v>#REF!</v>
      </c>
      <c r="BE51" s="182" t="e">
        <f>#REF!</f>
        <v>#REF!</v>
      </c>
      <c r="BF51" s="183"/>
      <c r="BG51" s="34" t="e">
        <f>#REF!</f>
        <v>#REF!</v>
      </c>
      <c r="BI51" s="69"/>
      <c r="BK51" s="246"/>
    </row>
    <row r="52" spans="1:63" x14ac:dyDescent="0.35">
      <c r="A52" s="4" t="s">
        <v>106</v>
      </c>
      <c r="B52" s="220"/>
      <c r="C52" s="212" t="str">
        <f t="shared" ref="C52:K52" si="72">C$18</f>
        <v>Total</v>
      </c>
      <c r="D52" s="221" t="str">
        <f>D$18</f>
        <v>Employment</v>
      </c>
      <c r="E52" s="221" t="str">
        <f t="shared" ref="E52:J52" si="73">E$18</f>
        <v>Education</v>
      </c>
      <c r="F52" s="221" t="str">
        <f t="shared" si="73"/>
        <v>Apprenticeship</v>
      </c>
      <c r="G52" s="221" t="str">
        <f t="shared" si="73"/>
        <v>Traineeship</v>
      </c>
      <c r="H52" s="221" t="str">
        <f t="shared" si="73"/>
        <v>Unemployment</v>
      </c>
      <c r="I52" s="221" t="str">
        <f t="shared" si="73"/>
        <v>Inactivity</v>
      </c>
      <c r="J52" s="221" t="str">
        <f t="shared" si="73"/>
        <v>Not applicable</v>
      </c>
      <c r="K52" s="223" t="str">
        <f t="shared" si="72"/>
        <v>Unknown</v>
      </c>
      <c r="M52" s="224" t="s">
        <v>106</v>
      </c>
      <c r="N52" s="220"/>
      <c r="O52" s="212" t="str">
        <f t="shared" ref="O52:W52" si="74">O$18</f>
        <v>Total</v>
      </c>
      <c r="P52" s="221" t="str">
        <f t="shared" si="74"/>
        <v>Employment</v>
      </c>
      <c r="Q52" s="221" t="str">
        <f t="shared" si="74"/>
        <v>Education</v>
      </c>
      <c r="R52" s="221" t="str">
        <f t="shared" si="74"/>
        <v>Apprenticeship</v>
      </c>
      <c r="S52" s="221" t="str">
        <f t="shared" si="74"/>
        <v>Traineeship</v>
      </c>
      <c r="T52" s="221" t="str">
        <f t="shared" si="74"/>
        <v>Unemployment</v>
      </c>
      <c r="U52" s="222" t="str">
        <f t="shared" si="74"/>
        <v>Inactivity</v>
      </c>
      <c r="V52" s="222" t="str">
        <f t="shared" si="74"/>
        <v>Not applicable</v>
      </c>
      <c r="W52" s="223" t="str">
        <f t="shared" si="74"/>
        <v>Unknown</v>
      </c>
      <c r="Y52" s="224" t="s">
        <v>106</v>
      </c>
      <c r="Z52" s="220"/>
      <c r="AA52" s="212" t="str">
        <f t="shared" ref="AA52:AI52" si="75">AA$18</f>
        <v>Total</v>
      </c>
      <c r="AB52" s="221" t="str">
        <f t="shared" si="75"/>
        <v>Employment</v>
      </c>
      <c r="AC52" s="221" t="str">
        <f t="shared" si="75"/>
        <v>Education</v>
      </c>
      <c r="AD52" s="221" t="str">
        <f t="shared" si="75"/>
        <v>Apprenticeship</v>
      </c>
      <c r="AE52" s="221" t="str">
        <f t="shared" si="75"/>
        <v>Traineeship</v>
      </c>
      <c r="AF52" s="221" t="str">
        <f t="shared" si="75"/>
        <v>Unemployment</v>
      </c>
      <c r="AG52" s="222" t="str">
        <f t="shared" si="75"/>
        <v>Inactivity</v>
      </c>
      <c r="AH52" s="222" t="str">
        <f t="shared" si="75"/>
        <v>Not applicable</v>
      </c>
      <c r="AI52" s="223" t="str">
        <f t="shared" si="75"/>
        <v>Unknown</v>
      </c>
      <c r="AK52" s="224" t="s">
        <v>106</v>
      </c>
      <c r="AL52" s="220"/>
      <c r="AM52" s="212" t="str">
        <f t="shared" ref="AM52:AU52" si="76">AM$18</f>
        <v>Total</v>
      </c>
      <c r="AN52" s="221" t="str">
        <f t="shared" si="76"/>
        <v>Employment</v>
      </c>
      <c r="AO52" s="221" t="str">
        <f t="shared" si="76"/>
        <v>Education</v>
      </c>
      <c r="AP52" s="221" t="str">
        <f t="shared" si="76"/>
        <v>Apprenticeship</v>
      </c>
      <c r="AQ52" s="221" t="str">
        <f t="shared" si="76"/>
        <v>Traineeship</v>
      </c>
      <c r="AR52" s="221" t="str">
        <f t="shared" si="76"/>
        <v>Unemployment</v>
      </c>
      <c r="AS52" s="222" t="str">
        <f t="shared" si="76"/>
        <v>Inactivity</v>
      </c>
      <c r="AT52" s="222" t="str">
        <f t="shared" si="76"/>
        <v>Not applicable</v>
      </c>
      <c r="AU52" s="223" t="str">
        <f t="shared" si="76"/>
        <v>Unknown</v>
      </c>
      <c r="AW52" s="224" t="s">
        <v>106</v>
      </c>
      <c r="AX52" s="220"/>
      <c r="AY52" s="212" t="str">
        <f t="shared" ref="AY52:BG52" si="77">AY$18</f>
        <v>Total</v>
      </c>
      <c r="AZ52" s="221" t="str">
        <f t="shared" si="77"/>
        <v>Employment</v>
      </c>
      <c r="BA52" s="221" t="str">
        <f t="shared" si="77"/>
        <v>Education</v>
      </c>
      <c r="BB52" s="221" t="str">
        <f t="shared" si="77"/>
        <v>Apprenticeship</v>
      </c>
      <c r="BC52" s="221" t="str">
        <f t="shared" si="77"/>
        <v>Traineeship</v>
      </c>
      <c r="BD52" s="221" t="str">
        <f t="shared" si="77"/>
        <v>Unemployment</v>
      </c>
      <c r="BE52" s="222" t="str">
        <f t="shared" si="77"/>
        <v>Inactivity</v>
      </c>
      <c r="BF52" s="222" t="str">
        <f t="shared" si="77"/>
        <v>Not applicable</v>
      </c>
      <c r="BG52" s="223" t="str">
        <f t="shared" si="77"/>
        <v>Unknown</v>
      </c>
      <c r="BI52" s="69" t="str" cm="1">
        <f t="array" ref="BI52">IF(OR(SUM(IF(O53:W56&lt;(O58:W61+O63:W66),1,0)),SUM(IF(C53:K56&lt;(C58:K61+C63:K66),1,0)),SUM(IF(AA53:AI56&lt;(AA58:AI61+AA63:AI66),1,0)), SUM(IF(AM53:AU56&lt;(AM58:AU61+AM63:AU66),1,0)), SUM(IF(AY53:BG56&lt;(AY58:BG61+AY63:BG66),1,0))),"!! Check sum by sex for one or more columns/rows","")</f>
        <v/>
      </c>
      <c r="BK52" s="246"/>
    </row>
    <row r="53" spans="1:63" x14ac:dyDescent="0.35">
      <c r="A53" s="2"/>
      <c r="B53" s="6" t="s">
        <v>441</v>
      </c>
      <c r="C53" s="213">
        <f>'Exits 2024'!C13</f>
        <v>542</v>
      </c>
      <c r="D53" s="130"/>
      <c r="E53" s="130"/>
      <c r="F53" s="130"/>
      <c r="G53" s="130"/>
      <c r="H53" s="130"/>
      <c r="I53" s="130"/>
      <c r="J53" s="130"/>
      <c r="K53" s="127">
        <f t="shared" ref="K53:K56" si="78">C53-SUM(D53:G53,H53:I53,J53)</f>
        <v>542</v>
      </c>
      <c r="M53" s="2"/>
      <c r="N53" s="6" t="s">
        <v>441</v>
      </c>
      <c r="O53" s="213">
        <f>'Exits 2024'!D13</f>
        <v>0</v>
      </c>
      <c r="P53" s="130"/>
      <c r="Q53" s="131"/>
      <c r="R53" s="131"/>
      <c r="S53" s="131"/>
      <c r="T53" s="131"/>
      <c r="U53" s="131"/>
      <c r="V53" s="131"/>
      <c r="W53" s="127">
        <f t="shared" ref="W53:W56" si="79">O53-SUM(P53:S53,T53:U53,V53)</f>
        <v>0</v>
      </c>
      <c r="Y53" s="2"/>
      <c r="Z53" s="6" t="s">
        <v>441</v>
      </c>
      <c r="AA53" s="213">
        <f>'Exits 2024'!E13</f>
        <v>0</v>
      </c>
      <c r="AB53" s="130"/>
      <c r="AC53" s="131"/>
      <c r="AD53" s="131"/>
      <c r="AE53" s="131"/>
      <c r="AF53" s="131"/>
      <c r="AG53" s="131"/>
      <c r="AH53" s="131"/>
      <c r="AI53" s="127">
        <f t="shared" ref="AI53:AI56" si="80">AA53-SUM(AB53:AE53,AF53:AG53,AH53)</f>
        <v>0</v>
      </c>
      <c r="AK53" s="2"/>
      <c r="AL53" s="6" t="s">
        <v>441</v>
      </c>
      <c r="AM53" s="213">
        <f>'Exits 2024'!F13</f>
        <v>0</v>
      </c>
      <c r="AN53" s="130"/>
      <c r="AO53" s="131"/>
      <c r="AP53" s="131"/>
      <c r="AQ53" s="131"/>
      <c r="AR53" s="131"/>
      <c r="AS53" s="131"/>
      <c r="AT53" s="131"/>
      <c r="AU53" s="127">
        <f t="shared" ref="AU53:AU56" si="81">AM53-SUM(AN53:AQ53,AR53:AS53,AT53)</f>
        <v>0</v>
      </c>
      <c r="AW53" s="2"/>
      <c r="AX53" s="6" t="s">
        <v>441</v>
      </c>
      <c r="AY53" s="213">
        <f>'Exits 2024'!G13</f>
        <v>0</v>
      </c>
      <c r="AZ53" s="130"/>
      <c r="BA53" s="131"/>
      <c r="BB53" s="131"/>
      <c r="BC53" s="131"/>
      <c r="BD53" s="131"/>
      <c r="BE53" s="131"/>
      <c r="BF53" s="131"/>
      <c r="BG53" s="127">
        <f t="shared" ref="BG53:BG56" si="82">AY53-SUM(AZ53:BC53,BD53:BE53,BF53)</f>
        <v>0</v>
      </c>
      <c r="BI53" s="69" t="str">
        <f>IF(OR(K53&lt;0,W53&lt;0,AI53&lt;0,AU53&lt;0,BG53&lt;0),"!! Total must be &gt;= sum by situation",IF(OR(C53&lt;SUM(O53,AA53,AM53,AY53),D53&lt;SUM(P53,AB53,AN53,AZ53),E53&lt;SUM(Q53,AC53,AO53,BA53),F53&lt;SUM(R53,AD53,AP53,BB53),G53&lt;SUM(S53,AE53,AQ53,BC53),H53&lt;SUM(T53,AF53,AR53,BD53),I53&lt;SUM(U53,AG53,AS53,BE53),J53&lt;SUM(V53,AH53,AT53,BF53)),"!! Values in FU1 must be &gt;= sum of values in FU2 - FU5",""))</f>
        <v/>
      </c>
      <c r="BK53" s="246"/>
    </row>
    <row r="54" spans="1:63" x14ac:dyDescent="0.35">
      <c r="A54" s="2"/>
      <c r="B54" s="6" t="s">
        <v>6</v>
      </c>
      <c r="C54" s="213">
        <f>'Exits 2024'!C14</f>
        <v>278</v>
      </c>
      <c r="D54" s="130"/>
      <c r="E54" s="130"/>
      <c r="F54" s="130"/>
      <c r="G54" s="130"/>
      <c r="H54" s="130"/>
      <c r="I54" s="130"/>
      <c r="J54" s="130"/>
      <c r="K54" s="127">
        <f t="shared" si="78"/>
        <v>278</v>
      </c>
      <c r="M54" s="2"/>
      <c r="N54" s="6" t="s">
        <v>6</v>
      </c>
      <c r="O54" s="213">
        <f>'Exits 2024'!D14</f>
        <v>0</v>
      </c>
      <c r="P54" s="130"/>
      <c r="Q54" s="131"/>
      <c r="R54" s="131"/>
      <c r="S54" s="131"/>
      <c r="T54" s="131"/>
      <c r="U54" s="131"/>
      <c r="V54" s="131"/>
      <c r="W54" s="127">
        <f t="shared" si="79"/>
        <v>0</v>
      </c>
      <c r="Y54" s="2"/>
      <c r="Z54" s="6" t="s">
        <v>6</v>
      </c>
      <c r="AA54" s="213">
        <f>'Exits 2024'!E14</f>
        <v>0</v>
      </c>
      <c r="AB54" s="130"/>
      <c r="AC54" s="131"/>
      <c r="AD54" s="131"/>
      <c r="AE54" s="131"/>
      <c r="AF54" s="131"/>
      <c r="AG54" s="131"/>
      <c r="AH54" s="131"/>
      <c r="AI54" s="127">
        <f t="shared" si="80"/>
        <v>0</v>
      </c>
      <c r="AK54" s="2"/>
      <c r="AL54" s="6" t="s">
        <v>6</v>
      </c>
      <c r="AM54" s="213">
        <f>'Exits 2024'!F14</f>
        <v>0</v>
      </c>
      <c r="AN54" s="130"/>
      <c r="AO54" s="131"/>
      <c r="AP54" s="131"/>
      <c r="AQ54" s="131"/>
      <c r="AR54" s="131"/>
      <c r="AS54" s="131"/>
      <c r="AT54" s="131"/>
      <c r="AU54" s="127">
        <f t="shared" si="81"/>
        <v>0</v>
      </c>
      <c r="AW54" s="2"/>
      <c r="AX54" s="6" t="s">
        <v>6</v>
      </c>
      <c r="AY54" s="213">
        <f>'Exits 2024'!G14</f>
        <v>0</v>
      </c>
      <c r="AZ54" s="130"/>
      <c r="BA54" s="131"/>
      <c r="BB54" s="131"/>
      <c r="BC54" s="131"/>
      <c r="BD54" s="131"/>
      <c r="BE54" s="131"/>
      <c r="BF54" s="131"/>
      <c r="BG54" s="127">
        <f t="shared" si="82"/>
        <v>0</v>
      </c>
      <c r="BI54" s="69" t="str">
        <f>IF(OR(K54&lt;0,W54&lt;0,AI54&lt;0,AU54&lt;0,BG54&lt;0),"!! Total must be &gt;= sum by situation",IF(OR(C54&lt;SUM(O54,AA54,AM54,AY54),D54&lt;SUM(P54,AB54,AN54,AZ54),E54&lt;SUM(Q54,AC54,AO54,BA54),F54&lt;SUM(R54,AD54,AP54,BB54),G54&lt;SUM(S54,AE54,AQ54,BC54),H54&lt;SUM(T54,AF54,AR54,BD54),I54&lt;SUM(U54,AG54,AS54,BE54),J54&lt;SUM(V54,AH54,AT54,BF54)),"!! Values in FU1 must be &gt;= sum of values in FU2 - FU5",""))</f>
        <v/>
      </c>
      <c r="BK54" s="246"/>
    </row>
    <row r="55" spans="1:63" x14ac:dyDescent="0.35">
      <c r="A55" s="2"/>
      <c r="B55" s="6" t="s">
        <v>7</v>
      </c>
      <c r="C55" s="213">
        <f>'Exits 2024'!C15</f>
        <v>203</v>
      </c>
      <c r="D55" s="130"/>
      <c r="E55" s="130"/>
      <c r="F55" s="130"/>
      <c r="G55" s="130"/>
      <c r="H55" s="130"/>
      <c r="I55" s="130"/>
      <c r="J55" s="130"/>
      <c r="K55" s="127">
        <f>C55-SUM(D55:G55,H55:I55,J55)</f>
        <v>203</v>
      </c>
      <c r="M55" s="2"/>
      <c r="N55" s="6" t="s">
        <v>7</v>
      </c>
      <c r="O55" s="213">
        <f>'Exits 2024'!D15</f>
        <v>0</v>
      </c>
      <c r="P55" s="130"/>
      <c r="Q55" s="130"/>
      <c r="R55" s="130"/>
      <c r="S55" s="130"/>
      <c r="T55" s="130"/>
      <c r="U55" s="130"/>
      <c r="V55" s="131"/>
      <c r="W55" s="127">
        <f t="shared" si="79"/>
        <v>0</v>
      </c>
      <c r="Y55" s="2"/>
      <c r="Z55" s="6" t="s">
        <v>7</v>
      </c>
      <c r="AA55" s="213">
        <f>'Exits 2024'!E15</f>
        <v>0</v>
      </c>
      <c r="AB55" s="130"/>
      <c r="AC55" s="131"/>
      <c r="AD55" s="131"/>
      <c r="AE55" s="131"/>
      <c r="AF55" s="131"/>
      <c r="AG55" s="131"/>
      <c r="AH55" s="131"/>
      <c r="AI55" s="127">
        <f t="shared" ref="AI55" si="83">AA55-SUM(AB55:AE55,AF55:AG55,AH55)</f>
        <v>0</v>
      </c>
      <c r="AK55" s="2"/>
      <c r="AL55" s="6" t="s">
        <v>7</v>
      </c>
      <c r="AM55" s="213">
        <f>'Exits 2024'!F15</f>
        <v>0</v>
      </c>
      <c r="AN55" s="130"/>
      <c r="AO55" s="130"/>
      <c r="AP55" s="130"/>
      <c r="AQ55" s="130"/>
      <c r="AR55" s="130"/>
      <c r="AS55" s="130"/>
      <c r="AT55" s="131"/>
      <c r="AU55" s="127">
        <f t="shared" si="81"/>
        <v>0</v>
      </c>
      <c r="AW55" s="2"/>
      <c r="AX55" s="6" t="s">
        <v>7</v>
      </c>
      <c r="AY55" s="213">
        <f>'Exits 2024'!G15</f>
        <v>0</v>
      </c>
      <c r="AZ55" s="130"/>
      <c r="BA55" s="130"/>
      <c r="BB55" s="130"/>
      <c r="BC55" s="130"/>
      <c r="BD55" s="130"/>
      <c r="BE55" s="130"/>
      <c r="BF55" s="131"/>
      <c r="BG55" s="127">
        <f t="shared" si="82"/>
        <v>0</v>
      </c>
      <c r="BI55" s="69" t="str">
        <f t="shared" ref="BI55:BI56" si="84">IF(OR(K55&lt;0,W55&lt;0,AI55&lt;0,AU55&lt;0,BG55&lt;0),"!! Total must be &gt;= sum by situation",IF(OR(C55&lt;SUM(O55,AA55,AM55,AY55),D55&lt;SUM(P55,AB55,AN55,AZ55),E55&lt;SUM(Q55,AC55,AO55,BA55),F55&lt;SUM(R55,AD55,AP55,BB55),G55&lt;SUM(S55,AE55,AQ55,BC55),H55&lt;SUM(T55,AF55,AR55,BD55),I55&lt;SUM(U55,AG55,AS55,BE55),J55&lt;SUM(V55,AH55,AT55,BF55)),"!! Values in FU1 must be &gt;= sum of values in FU2 - FU5",""))</f>
        <v/>
      </c>
      <c r="BK55" s="246"/>
    </row>
    <row r="56" spans="1:63" x14ac:dyDescent="0.35">
      <c r="A56" s="2"/>
      <c r="B56" s="6" t="s">
        <v>440</v>
      </c>
      <c r="C56" s="213">
        <f>'Exits 2024'!C16</f>
        <v>68</v>
      </c>
      <c r="D56" s="130"/>
      <c r="E56" s="130"/>
      <c r="F56" s="130"/>
      <c r="G56" s="130"/>
      <c r="H56" s="130"/>
      <c r="I56" s="130"/>
      <c r="J56" s="130"/>
      <c r="K56" s="127">
        <f t="shared" si="78"/>
        <v>68</v>
      </c>
      <c r="M56" s="2"/>
      <c r="N56" s="6" t="s">
        <v>440</v>
      </c>
      <c r="O56" s="213">
        <f>'Exits 2024'!D16</f>
        <v>0</v>
      </c>
      <c r="P56" s="130"/>
      <c r="Q56" s="131"/>
      <c r="R56" s="131"/>
      <c r="S56" s="131"/>
      <c r="T56" s="131"/>
      <c r="U56" s="131"/>
      <c r="V56" s="131"/>
      <c r="W56" s="127">
        <f t="shared" si="79"/>
        <v>0</v>
      </c>
      <c r="Y56" s="2"/>
      <c r="Z56" s="6" t="s">
        <v>440</v>
      </c>
      <c r="AA56" s="213">
        <f>'Exits 2024'!E16</f>
        <v>0</v>
      </c>
      <c r="AB56" s="130"/>
      <c r="AC56" s="131"/>
      <c r="AD56" s="131"/>
      <c r="AE56" s="131"/>
      <c r="AF56" s="131"/>
      <c r="AG56" s="131"/>
      <c r="AH56" s="131"/>
      <c r="AI56" s="127">
        <f t="shared" si="80"/>
        <v>0</v>
      </c>
      <c r="AK56" s="2"/>
      <c r="AL56" s="6" t="s">
        <v>440</v>
      </c>
      <c r="AM56" s="213">
        <f>'Exits 2024'!F16</f>
        <v>0</v>
      </c>
      <c r="AN56" s="130"/>
      <c r="AO56" s="131"/>
      <c r="AP56" s="131"/>
      <c r="AQ56" s="131"/>
      <c r="AR56" s="131"/>
      <c r="AS56" s="131"/>
      <c r="AT56" s="131"/>
      <c r="AU56" s="127">
        <f t="shared" si="81"/>
        <v>0</v>
      </c>
      <c r="AW56" s="2"/>
      <c r="AX56" s="6" t="s">
        <v>440</v>
      </c>
      <c r="AY56" s="213">
        <f>'Exits 2024'!G16</f>
        <v>0</v>
      </c>
      <c r="AZ56" s="130"/>
      <c r="BA56" s="131"/>
      <c r="BB56" s="131"/>
      <c r="BC56" s="131"/>
      <c r="BD56" s="131"/>
      <c r="BE56" s="131"/>
      <c r="BF56" s="131"/>
      <c r="BG56" s="127">
        <f t="shared" si="82"/>
        <v>0</v>
      </c>
      <c r="BI56" s="69" t="str">
        <f t="shared" si="84"/>
        <v/>
      </c>
      <c r="BK56" s="246"/>
    </row>
    <row r="57" spans="1:63" x14ac:dyDescent="0.35">
      <c r="A57" s="224" t="s">
        <v>4</v>
      </c>
      <c r="B57" s="220"/>
      <c r="C57" s="212" t="str">
        <f t="shared" ref="C57:K57" si="85">C$18</f>
        <v>Total</v>
      </c>
      <c r="D57" s="221" t="str">
        <f>D$18</f>
        <v>Employment</v>
      </c>
      <c r="E57" s="221" t="str">
        <f t="shared" ref="E57:J57" si="86">E$18</f>
        <v>Education</v>
      </c>
      <c r="F57" s="221" t="str">
        <f t="shared" si="86"/>
        <v>Apprenticeship</v>
      </c>
      <c r="G57" s="221" t="str">
        <f t="shared" si="86"/>
        <v>Traineeship</v>
      </c>
      <c r="H57" s="221" t="str">
        <f t="shared" si="86"/>
        <v>Unemployment</v>
      </c>
      <c r="I57" s="221" t="str">
        <f t="shared" si="86"/>
        <v>Inactivity</v>
      </c>
      <c r="J57" s="221" t="str">
        <f t="shared" si="86"/>
        <v>Not applicable</v>
      </c>
      <c r="K57" s="223" t="str">
        <f t="shared" si="85"/>
        <v>Unknown</v>
      </c>
      <c r="M57" s="224" t="s">
        <v>4</v>
      </c>
      <c r="N57" s="220"/>
      <c r="O57" s="212" t="str">
        <f t="shared" ref="O57:W57" si="87">O$18</f>
        <v>Total</v>
      </c>
      <c r="P57" s="221" t="str">
        <f t="shared" si="87"/>
        <v>Employment</v>
      </c>
      <c r="Q57" s="221" t="str">
        <f t="shared" si="87"/>
        <v>Education</v>
      </c>
      <c r="R57" s="221" t="str">
        <f t="shared" si="87"/>
        <v>Apprenticeship</v>
      </c>
      <c r="S57" s="221" t="str">
        <f t="shared" si="87"/>
        <v>Traineeship</v>
      </c>
      <c r="T57" s="221" t="str">
        <f t="shared" si="87"/>
        <v>Unemployment</v>
      </c>
      <c r="U57" s="222" t="str">
        <f t="shared" si="87"/>
        <v>Inactivity</v>
      </c>
      <c r="V57" s="222" t="str">
        <f t="shared" si="87"/>
        <v>Not applicable</v>
      </c>
      <c r="W57" s="223" t="str">
        <f t="shared" si="87"/>
        <v>Unknown</v>
      </c>
      <c r="Y57" s="224" t="s">
        <v>4</v>
      </c>
      <c r="Z57" s="220"/>
      <c r="AA57" s="212" t="str">
        <f t="shared" ref="AA57:AI57" si="88">AA$18</f>
        <v>Total</v>
      </c>
      <c r="AB57" s="221" t="str">
        <f t="shared" si="88"/>
        <v>Employment</v>
      </c>
      <c r="AC57" s="221" t="str">
        <f t="shared" si="88"/>
        <v>Education</v>
      </c>
      <c r="AD57" s="221" t="str">
        <f t="shared" si="88"/>
        <v>Apprenticeship</v>
      </c>
      <c r="AE57" s="221" t="str">
        <f t="shared" si="88"/>
        <v>Traineeship</v>
      </c>
      <c r="AF57" s="221" t="str">
        <f t="shared" si="88"/>
        <v>Unemployment</v>
      </c>
      <c r="AG57" s="222" t="str">
        <f t="shared" si="88"/>
        <v>Inactivity</v>
      </c>
      <c r="AH57" s="222" t="str">
        <f t="shared" si="88"/>
        <v>Not applicable</v>
      </c>
      <c r="AI57" s="223" t="str">
        <f t="shared" si="88"/>
        <v>Unknown</v>
      </c>
      <c r="AK57" s="224" t="s">
        <v>4</v>
      </c>
      <c r="AL57" s="220"/>
      <c r="AM57" s="212" t="str">
        <f t="shared" ref="AM57:AU57" si="89">AM$18</f>
        <v>Total</v>
      </c>
      <c r="AN57" s="221" t="str">
        <f t="shared" si="89"/>
        <v>Employment</v>
      </c>
      <c r="AO57" s="221" t="str">
        <f t="shared" si="89"/>
        <v>Education</v>
      </c>
      <c r="AP57" s="221" t="str">
        <f t="shared" si="89"/>
        <v>Apprenticeship</v>
      </c>
      <c r="AQ57" s="221" t="str">
        <f t="shared" si="89"/>
        <v>Traineeship</v>
      </c>
      <c r="AR57" s="221" t="str">
        <f t="shared" si="89"/>
        <v>Unemployment</v>
      </c>
      <c r="AS57" s="222" t="str">
        <f t="shared" si="89"/>
        <v>Inactivity</v>
      </c>
      <c r="AT57" s="222" t="str">
        <f t="shared" si="89"/>
        <v>Not applicable</v>
      </c>
      <c r="AU57" s="223" t="str">
        <f t="shared" si="89"/>
        <v>Unknown</v>
      </c>
      <c r="AW57" s="224" t="s">
        <v>4</v>
      </c>
      <c r="AX57" s="220"/>
      <c r="AY57" s="212" t="str">
        <f t="shared" ref="AY57:BG57" si="90">AY$18</f>
        <v>Total</v>
      </c>
      <c r="AZ57" s="221" t="str">
        <f t="shared" si="90"/>
        <v>Employment</v>
      </c>
      <c r="BA57" s="221" t="str">
        <f t="shared" si="90"/>
        <v>Education</v>
      </c>
      <c r="BB57" s="221" t="str">
        <f t="shared" si="90"/>
        <v>Apprenticeship</v>
      </c>
      <c r="BC57" s="221" t="str">
        <f t="shared" si="90"/>
        <v>Traineeship</v>
      </c>
      <c r="BD57" s="221" t="str">
        <f t="shared" si="90"/>
        <v>Unemployment</v>
      </c>
      <c r="BE57" s="222" t="str">
        <f t="shared" si="90"/>
        <v>Inactivity</v>
      </c>
      <c r="BF57" s="222" t="str">
        <f t="shared" si="90"/>
        <v>Not applicable</v>
      </c>
      <c r="BG57" s="223" t="str">
        <f t="shared" si="90"/>
        <v>Unknown</v>
      </c>
      <c r="BI57" s="69"/>
      <c r="BK57" s="246"/>
    </row>
    <row r="58" spans="1:63" x14ac:dyDescent="0.35">
      <c r="A58" s="2"/>
      <c r="B58" s="6" t="s">
        <v>441</v>
      </c>
      <c r="C58" s="213">
        <f>'Exits 2024'!C18</f>
        <v>289</v>
      </c>
      <c r="D58" s="130"/>
      <c r="E58" s="130"/>
      <c r="F58" s="130"/>
      <c r="G58" s="130"/>
      <c r="H58" s="130"/>
      <c r="I58" s="130"/>
      <c r="J58" s="130"/>
      <c r="K58" s="127">
        <f t="shared" ref="K58:K61" si="91">C58-SUM(D58:G58,H58:I58,J58)</f>
        <v>289</v>
      </c>
      <c r="M58" s="2"/>
      <c r="N58" s="6" t="s">
        <v>441</v>
      </c>
      <c r="O58" s="213">
        <f>'Exits 2024'!D18</f>
        <v>0</v>
      </c>
      <c r="P58" s="130"/>
      <c r="Q58" s="131"/>
      <c r="R58" s="131"/>
      <c r="S58" s="131"/>
      <c r="T58" s="131"/>
      <c r="U58" s="131"/>
      <c r="V58" s="131"/>
      <c r="W58" s="127">
        <f t="shared" ref="W58:W61" si="92">O58-SUM(P58:S58,T58:U58,V58)</f>
        <v>0</v>
      </c>
      <c r="Y58" s="2"/>
      <c r="Z58" s="6" t="s">
        <v>441</v>
      </c>
      <c r="AA58" s="213">
        <f>'Exits 2024'!E18</f>
        <v>0</v>
      </c>
      <c r="AB58" s="130"/>
      <c r="AC58" s="131"/>
      <c r="AD58" s="131"/>
      <c r="AE58" s="131"/>
      <c r="AF58" s="131"/>
      <c r="AG58" s="131"/>
      <c r="AH58" s="131"/>
      <c r="AI58" s="127">
        <f t="shared" ref="AI58:AI61" si="93">AA58-SUM(AB58:AE58,AF58:AG58,AH58)</f>
        <v>0</v>
      </c>
      <c r="AK58" s="2"/>
      <c r="AL58" s="6" t="s">
        <v>441</v>
      </c>
      <c r="AM58" s="213">
        <f>'Exits 2024'!F18</f>
        <v>0</v>
      </c>
      <c r="AN58" s="130"/>
      <c r="AO58" s="131"/>
      <c r="AP58" s="131"/>
      <c r="AQ58" s="131"/>
      <c r="AR58" s="131"/>
      <c r="AS58" s="131"/>
      <c r="AT58" s="131"/>
      <c r="AU58" s="127">
        <f t="shared" ref="AU58:AU61" si="94">AM58-SUM(AN58:AQ58,AR58:AS58,AT58)</f>
        <v>0</v>
      </c>
      <c r="AW58" s="2"/>
      <c r="AX58" s="6" t="s">
        <v>441</v>
      </c>
      <c r="AY58" s="213">
        <f>'Exits 2024'!G18</f>
        <v>0</v>
      </c>
      <c r="AZ58" s="130"/>
      <c r="BA58" s="131"/>
      <c r="BB58" s="131"/>
      <c r="BC58" s="131"/>
      <c r="BD58" s="131"/>
      <c r="BE58" s="131"/>
      <c r="BF58" s="131"/>
      <c r="BG58" s="127">
        <f t="shared" ref="BG58:BG61" si="95">AY58-SUM(AZ58:BC58,BD58:BE58,BF58)</f>
        <v>0</v>
      </c>
      <c r="BI58" s="69" t="str">
        <f>IF(OR(K58&lt;0,W58&lt;0,AI58&lt;0,AU58&lt;0,BG58&lt;0),"!! Total must be &gt;= sum by situation",IF(OR(C58&lt;SUM(O58,AA58,AM58,AY58),D58&lt;SUM(P58,AB58,AN58,AZ58),E58&lt;SUM(Q58,AC58,AO58,BA58),F58&lt;SUM(R58,AD58,AP58,BB58),G58&lt;SUM(S58,AE58,AQ58,BC58),H58&lt;SUM(T58,AF58,AR58,BD58),I58&lt;SUM(U58,AG58,AS58,BE58),J58&lt;SUM(V58,AH58,AT58,BF58)),"!! Values in FU1 must be &gt;= sum of values in FU2 - FU5",""))</f>
        <v/>
      </c>
      <c r="BK58" s="246"/>
    </row>
    <row r="59" spans="1:63" x14ac:dyDescent="0.35">
      <c r="A59" s="2"/>
      <c r="B59" s="6" t="s">
        <v>6</v>
      </c>
      <c r="C59" s="213">
        <f>'Exits 2024'!C19</f>
        <v>147</v>
      </c>
      <c r="D59" s="130"/>
      <c r="E59" s="130"/>
      <c r="F59" s="130"/>
      <c r="G59" s="130"/>
      <c r="H59" s="130"/>
      <c r="I59" s="130"/>
      <c r="J59" s="130"/>
      <c r="K59" s="127">
        <f t="shared" si="91"/>
        <v>147</v>
      </c>
      <c r="M59" s="2"/>
      <c r="N59" s="6" t="s">
        <v>6</v>
      </c>
      <c r="O59" s="213">
        <f>'Exits 2024'!D19</f>
        <v>0</v>
      </c>
      <c r="P59" s="130"/>
      <c r="Q59" s="131"/>
      <c r="R59" s="131"/>
      <c r="S59" s="131"/>
      <c r="T59" s="131"/>
      <c r="U59" s="131"/>
      <c r="V59" s="131"/>
      <c r="W59" s="127">
        <f t="shared" si="92"/>
        <v>0</v>
      </c>
      <c r="Y59" s="2"/>
      <c r="Z59" s="6" t="s">
        <v>6</v>
      </c>
      <c r="AA59" s="213">
        <f>'Exits 2024'!E19</f>
        <v>0</v>
      </c>
      <c r="AB59" s="130"/>
      <c r="AC59" s="131"/>
      <c r="AD59" s="131"/>
      <c r="AE59" s="131"/>
      <c r="AF59" s="131"/>
      <c r="AG59" s="131"/>
      <c r="AH59" s="131"/>
      <c r="AI59" s="127">
        <f t="shared" si="93"/>
        <v>0</v>
      </c>
      <c r="AK59" s="2"/>
      <c r="AL59" s="6" t="s">
        <v>6</v>
      </c>
      <c r="AM59" s="213">
        <f>'Exits 2024'!F19</f>
        <v>0</v>
      </c>
      <c r="AN59" s="130"/>
      <c r="AO59" s="131"/>
      <c r="AP59" s="131"/>
      <c r="AQ59" s="131"/>
      <c r="AR59" s="131"/>
      <c r="AS59" s="131"/>
      <c r="AT59" s="131"/>
      <c r="AU59" s="127">
        <f t="shared" si="94"/>
        <v>0</v>
      </c>
      <c r="AW59" s="2"/>
      <c r="AX59" s="6" t="s">
        <v>6</v>
      </c>
      <c r="AY59" s="213">
        <f>'Exits 2024'!G19</f>
        <v>0</v>
      </c>
      <c r="AZ59" s="130"/>
      <c r="BA59" s="131"/>
      <c r="BB59" s="131"/>
      <c r="BC59" s="131"/>
      <c r="BD59" s="131"/>
      <c r="BE59" s="131"/>
      <c r="BF59" s="131"/>
      <c r="BG59" s="127">
        <f t="shared" si="95"/>
        <v>0</v>
      </c>
      <c r="BI59" s="69" t="str">
        <f>IF(OR(K59&lt;0,W59&lt;0,AI59&lt;0,AU59&lt;0,BG59&lt;0),"!! Total must be &gt;= sum by situation",IF(OR(C59&lt;SUM(O59,AA59,AM59,AY59),D59&lt;SUM(P59,AB59,AN59,AZ59),E59&lt;SUM(Q59,AC59,AO59,BA59),F59&lt;SUM(R59,AD59,AP59,BB59),G59&lt;SUM(S59,AE59,AQ59,BC59),H59&lt;SUM(T59,AF59,AR59,BD59),I59&lt;SUM(U59,AG59,AS59,BE59),J59&lt;SUM(V59,AH59,AT59,BF59)),"!! Values in FU1 must be &gt;= sum of values in FU2 - FU5",""))</f>
        <v/>
      </c>
      <c r="BK59" s="246"/>
    </row>
    <row r="60" spans="1:63" x14ac:dyDescent="0.35">
      <c r="A60" s="2"/>
      <c r="B60" s="6" t="s">
        <v>7</v>
      </c>
      <c r="C60" s="213">
        <f>'Exits 2024'!C20</f>
        <v>122</v>
      </c>
      <c r="D60" s="130"/>
      <c r="E60" s="130"/>
      <c r="F60" s="130"/>
      <c r="G60" s="130"/>
      <c r="H60" s="130"/>
      <c r="I60" s="130"/>
      <c r="J60" s="130"/>
      <c r="K60" s="127">
        <f t="shared" si="91"/>
        <v>122</v>
      </c>
      <c r="M60" s="2"/>
      <c r="N60" s="6" t="s">
        <v>7</v>
      </c>
      <c r="O60" s="213">
        <f>'Exits 2024'!D20</f>
        <v>0</v>
      </c>
      <c r="P60" s="130"/>
      <c r="Q60" s="130"/>
      <c r="R60" s="130"/>
      <c r="S60" s="130"/>
      <c r="T60" s="130"/>
      <c r="U60" s="130"/>
      <c r="V60" s="131"/>
      <c r="W60" s="127">
        <f t="shared" si="92"/>
        <v>0</v>
      </c>
      <c r="Y60" s="2"/>
      <c r="Z60" s="6" t="s">
        <v>7</v>
      </c>
      <c r="AA60" s="213">
        <f>'Exits 2024'!E20</f>
        <v>0</v>
      </c>
      <c r="AB60" s="130"/>
      <c r="AC60" s="131"/>
      <c r="AD60" s="131"/>
      <c r="AE60" s="131"/>
      <c r="AF60" s="131"/>
      <c r="AG60" s="131"/>
      <c r="AH60" s="131"/>
      <c r="AI60" s="127">
        <f t="shared" si="93"/>
        <v>0</v>
      </c>
      <c r="AK60" s="2"/>
      <c r="AL60" s="6" t="s">
        <v>7</v>
      </c>
      <c r="AM60" s="213">
        <f>'Exits 2024'!F20</f>
        <v>0</v>
      </c>
      <c r="AN60" s="130"/>
      <c r="AO60" s="130"/>
      <c r="AP60" s="130"/>
      <c r="AQ60" s="130"/>
      <c r="AR60" s="130"/>
      <c r="AS60" s="130"/>
      <c r="AT60" s="131"/>
      <c r="AU60" s="127">
        <f t="shared" si="94"/>
        <v>0</v>
      </c>
      <c r="AW60" s="2"/>
      <c r="AX60" s="6" t="s">
        <v>7</v>
      </c>
      <c r="AY60" s="213">
        <f>'Exits 2024'!G20</f>
        <v>0</v>
      </c>
      <c r="AZ60" s="130"/>
      <c r="BA60" s="130"/>
      <c r="BB60" s="130"/>
      <c r="BC60" s="130"/>
      <c r="BD60" s="130"/>
      <c r="BE60" s="130"/>
      <c r="BF60" s="131"/>
      <c r="BG60" s="127">
        <f t="shared" si="95"/>
        <v>0</v>
      </c>
      <c r="BI60" s="69" t="str">
        <f t="shared" ref="BI60:BI61" si="96">IF(OR(K60&lt;0,W60&lt;0,AI60&lt;0,AU60&lt;0,BG60&lt;0),"!! Total must be &gt;= sum by situation",IF(OR(C60&lt;SUM(O60,AA60,AM60,AY60),D60&lt;SUM(P60,AB60,AN60,AZ60),E60&lt;SUM(Q60,AC60,AO60,BA60),F60&lt;SUM(R60,AD60,AP60,BB60),G60&lt;SUM(S60,AE60,AQ60,BC60),H60&lt;SUM(T60,AF60,AR60,BD60),I60&lt;SUM(U60,AG60,AS60,BE60),J60&lt;SUM(V60,AH60,AT60,BF60)),"!! Values in FU1 must be &gt;= sum of values in FU2 - FU5",""))</f>
        <v/>
      </c>
      <c r="BK60" s="246"/>
    </row>
    <row r="61" spans="1:63" x14ac:dyDescent="0.35">
      <c r="A61" s="2"/>
      <c r="B61" s="6" t="s">
        <v>440</v>
      </c>
      <c r="C61" s="213">
        <f>'Exits 2024'!C21</f>
        <v>30</v>
      </c>
      <c r="D61" s="130"/>
      <c r="E61" s="130"/>
      <c r="F61" s="130"/>
      <c r="G61" s="130"/>
      <c r="H61" s="130"/>
      <c r="I61" s="130"/>
      <c r="J61" s="130"/>
      <c r="K61" s="127">
        <f t="shared" si="91"/>
        <v>30</v>
      </c>
      <c r="M61" s="2"/>
      <c r="N61" s="6" t="s">
        <v>440</v>
      </c>
      <c r="O61" s="213">
        <f>'Exits 2024'!D21</f>
        <v>0</v>
      </c>
      <c r="P61" s="130"/>
      <c r="Q61" s="131"/>
      <c r="R61" s="131"/>
      <c r="S61" s="131"/>
      <c r="T61" s="131"/>
      <c r="U61" s="131"/>
      <c r="V61" s="131"/>
      <c r="W61" s="127">
        <f t="shared" si="92"/>
        <v>0</v>
      </c>
      <c r="Y61" s="2"/>
      <c r="Z61" s="6" t="s">
        <v>440</v>
      </c>
      <c r="AA61" s="213">
        <f>'Exits 2024'!E21</f>
        <v>0</v>
      </c>
      <c r="AB61" s="130"/>
      <c r="AC61" s="131"/>
      <c r="AD61" s="131"/>
      <c r="AE61" s="131"/>
      <c r="AF61" s="131"/>
      <c r="AG61" s="131"/>
      <c r="AH61" s="131"/>
      <c r="AI61" s="127">
        <f t="shared" si="93"/>
        <v>0</v>
      </c>
      <c r="AK61" s="2"/>
      <c r="AL61" s="6" t="s">
        <v>440</v>
      </c>
      <c r="AM61" s="213">
        <f>'Exits 2024'!F21</f>
        <v>0</v>
      </c>
      <c r="AN61" s="130"/>
      <c r="AO61" s="131"/>
      <c r="AP61" s="131"/>
      <c r="AQ61" s="131"/>
      <c r="AR61" s="131"/>
      <c r="AS61" s="131"/>
      <c r="AT61" s="131"/>
      <c r="AU61" s="127">
        <f t="shared" si="94"/>
        <v>0</v>
      </c>
      <c r="AW61" s="2"/>
      <c r="AX61" s="6" t="s">
        <v>440</v>
      </c>
      <c r="AY61" s="213">
        <f>'Exits 2024'!G21</f>
        <v>0</v>
      </c>
      <c r="AZ61" s="130"/>
      <c r="BA61" s="131"/>
      <c r="BB61" s="131"/>
      <c r="BC61" s="131"/>
      <c r="BD61" s="131"/>
      <c r="BE61" s="131"/>
      <c r="BF61" s="131"/>
      <c r="BG61" s="127">
        <f t="shared" si="95"/>
        <v>0</v>
      </c>
      <c r="BI61" s="69" t="str">
        <f t="shared" si="96"/>
        <v/>
      </c>
      <c r="BK61" s="246"/>
    </row>
    <row r="62" spans="1:63" x14ac:dyDescent="0.35">
      <c r="A62" s="4" t="s">
        <v>5</v>
      </c>
      <c r="B62" s="220"/>
      <c r="C62" s="212" t="str">
        <f t="shared" ref="C62:K62" si="97">C$18</f>
        <v>Total</v>
      </c>
      <c r="D62" s="221" t="str">
        <f>D$18</f>
        <v>Employment</v>
      </c>
      <c r="E62" s="221" t="str">
        <f t="shared" ref="E62:J62" si="98">E$18</f>
        <v>Education</v>
      </c>
      <c r="F62" s="221" t="str">
        <f t="shared" si="98"/>
        <v>Apprenticeship</v>
      </c>
      <c r="G62" s="221" t="str">
        <f t="shared" si="98"/>
        <v>Traineeship</v>
      </c>
      <c r="H62" s="221" t="str">
        <f t="shared" si="98"/>
        <v>Unemployment</v>
      </c>
      <c r="I62" s="221" t="str">
        <f t="shared" si="98"/>
        <v>Inactivity</v>
      </c>
      <c r="J62" s="221" t="str">
        <f t="shared" si="98"/>
        <v>Not applicable</v>
      </c>
      <c r="K62" s="223" t="str">
        <f t="shared" si="97"/>
        <v>Unknown</v>
      </c>
      <c r="M62" s="224" t="s">
        <v>5</v>
      </c>
      <c r="N62" s="220"/>
      <c r="O62" s="212" t="str">
        <f t="shared" ref="O62:W62" si="99">O$18</f>
        <v>Total</v>
      </c>
      <c r="P62" s="221" t="str">
        <f t="shared" si="99"/>
        <v>Employment</v>
      </c>
      <c r="Q62" s="221" t="str">
        <f t="shared" si="99"/>
        <v>Education</v>
      </c>
      <c r="R62" s="221" t="str">
        <f t="shared" si="99"/>
        <v>Apprenticeship</v>
      </c>
      <c r="S62" s="221" t="str">
        <f t="shared" si="99"/>
        <v>Traineeship</v>
      </c>
      <c r="T62" s="221" t="str">
        <f t="shared" si="99"/>
        <v>Unemployment</v>
      </c>
      <c r="U62" s="222" t="str">
        <f t="shared" si="99"/>
        <v>Inactivity</v>
      </c>
      <c r="V62" s="222" t="str">
        <f t="shared" si="99"/>
        <v>Not applicable</v>
      </c>
      <c r="W62" s="223" t="str">
        <f t="shared" si="99"/>
        <v>Unknown</v>
      </c>
      <c r="Y62" s="224" t="s">
        <v>5</v>
      </c>
      <c r="Z62" s="220"/>
      <c r="AA62" s="212" t="str">
        <f t="shared" ref="AA62:AI62" si="100">AA$18</f>
        <v>Total</v>
      </c>
      <c r="AB62" s="221" t="str">
        <f t="shared" si="100"/>
        <v>Employment</v>
      </c>
      <c r="AC62" s="221" t="str">
        <f t="shared" si="100"/>
        <v>Education</v>
      </c>
      <c r="AD62" s="221" t="str">
        <f t="shared" si="100"/>
        <v>Apprenticeship</v>
      </c>
      <c r="AE62" s="221" t="str">
        <f t="shared" si="100"/>
        <v>Traineeship</v>
      </c>
      <c r="AF62" s="221" t="str">
        <f t="shared" si="100"/>
        <v>Unemployment</v>
      </c>
      <c r="AG62" s="222" t="str">
        <f t="shared" si="100"/>
        <v>Inactivity</v>
      </c>
      <c r="AH62" s="222" t="str">
        <f t="shared" si="100"/>
        <v>Not applicable</v>
      </c>
      <c r="AI62" s="223" t="str">
        <f t="shared" si="100"/>
        <v>Unknown</v>
      </c>
      <c r="AK62" s="224" t="s">
        <v>5</v>
      </c>
      <c r="AL62" s="220"/>
      <c r="AM62" s="212" t="str">
        <f t="shared" ref="AM62:AU62" si="101">AM$18</f>
        <v>Total</v>
      </c>
      <c r="AN62" s="221" t="str">
        <f t="shared" si="101"/>
        <v>Employment</v>
      </c>
      <c r="AO62" s="221" t="str">
        <f t="shared" si="101"/>
        <v>Education</v>
      </c>
      <c r="AP62" s="221" t="str">
        <f t="shared" si="101"/>
        <v>Apprenticeship</v>
      </c>
      <c r="AQ62" s="221" t="str">
        <f t="shared" si="101"/>
        <v>Traineeship</v>
      </c>
      <c r="AR62" s="221" t="str">
        <f t="shared" si="101"/>
        <v>Unemployment</v>
      </c>
      <c r="AS62" s="222" t="str">
        <f t="shared" si="101"/>
        <v>Inactivity</v>
      </c>
      <c r="AT62" s="222" t="str">
        <f t="shared" si="101"/>
        <v>Not applicable</v>
      </c>
      <c r="AU62" s="223" t="str">
        <f t="shared" si="101"/>
        <v>Unknown</v>
      </c>
      <c r="AW62" s="224" t="s">
        <v>5</v>
      </c>
      <c r="AX62" s="220"/>
      <c r="AY62" s="212" t="str">
        <f t="shared" ref="AY62:BG62" si="102">AY$18</f>
        <v>Total</v>
      </c>
      <c r="AZ62" s="221" t="str">
        <f t="shared" si="102"/>
        <v>Employment</v>
      </c>
      <c r="BA62" s="221" t="str">
        <f t="shared" si="102"/>
        <v>Education</v>
      </c>
      <c r="BB62" s="221" t="str">
        <f t="shared" si="102"/>
        <v>Apprenticeship</v>
      </c>
      <c r="BC62" s="221" t="str">
        <f t="shared" si="102"/>
        <v>Traineeship</v>
      </c>
      <c r="BD62" s="221" t="str">
        <f t="shared" si="102"/>
        <v>Unemployment</v>
      </c>
      <c r="BE62" s="222" t="str">
        <f t="shared" si="102"/>
        <v>Inactivity</v>
      </c>
      <c r="BF62" s="222" t="str">
        <f t="shared" si="102"/>
        <v>Not applicable</v>
      </c>
      <c r="BG62" s="223" t="str">
        <f t="shared" si="102"/>
        <v>Unknown</v>
      </c>
      <c r="BI62" s="69"/>
      <c r="BK62" s="246"/>
    </row>
    <row r="63" spans="1:63" x14ac:dyDescent="0.35">
      <c r="A63" s="2"/>
      <c r="B63" s="6" t="s">
        <v>441</v>
      </c>
      <c r="C63" s="213">
        <f>'Exits 2024'!C23</f>
        <v>253</v>
      </c>
      <c r="D63" s="130"/>
      <c r="E63" s="130"/>
      <c r="F63" s="130"/>
      <c r="G63" s="130"/>
      <c r="H63" s="130"/>
      <c r="I63" s="130"/>
      <c r="J63" s="130"/>
      <c r="K63" s="127">
        <f t="shared" ref="K63:K65" si="103">C63-SUM(D63:G63,H63:I63,J63)</f>
        <v>253</v>
      </c>
      <c r="M63" s="2"/>
      <c r="N63" s="6" t="s">
        <v>441</v>
      </c>
      <c r="O63" s="213">
        <f>'Exits 2024'!D23</f>
        <v>0</v>
      </c>
      <c r="P63" s="130"/>
      <c r="Q63" s="131"/>
      <c r="R63" s="131"/>
      <c r="S63" s="131"/>
      <c r="T63" s="131"/>
      <c r="U63" s="131"/>
      <c r="V63" s="131"/>
      <c r="W63" s="127">
        <f t="shared" ref="W63:W65" si="104">O63-SUM(P63:S63,T63:U63,V63)</f>
        <v>0</v>
      </c>
      <c r="Y63" s="2"/>
      <c r="Z63" s="6" t="s">
        <v>441</v>
      </c>
      <c r="AA63" s="213">
        <f>'Exits 2024'!E23</f>
        <v>0</v>
      </c>
      <c r="AB63" s="130"/>
      <c r="AC63" s="131"/>
      <c r="AD63" s="131"/>
      <c r="AE63" s="131"/>
      <c r="AF63" s="131"/>
      <c r="AG63" s="131"/>
      <c r="AH63" s="131"/>
      <c r="AI63" s="127">
        <f t="shared" ref="AI63:AI65" si="105">AA63-SUM(AB63:AE63,AF63:AG63,AH63)</f>
        <v>0</v>
      </c>
      <c r="AK63" s="2"/>
      <c r="AL63" s="6" t="s">
        <v>441</v>
      </c>
      <c r="AM63" s="213">
        <f>'Exits 2024'!F23</f>
        <v>0</v>
      </c>
      <c r="AN63" s="130"/>
      <c r="AO63" s="131"/>
      <c r="AP63" s="131"/>
      <c r="AQ63" s="131"/>
      <c r="AR63" s="131"/>
      <c r="AS63" s="131"/>
      <c r="AT63" s="131"/>
      <c r="AU63" s="127">
        <f t="shared" ref="AU63:AU65" si="106">AM63-SUM(AN63:AQ63,AR63:AS63,AT63)</f>
        <v>0</v>
      </c>
      <c r="AW63" s="2"/>
      <c r="AX63" s="6" t="s">
        <v>441</v>
      </c>
      <c r="AY63" s="213">
        <f>'Exits 2024'!G23</f>
        <v>0</v>
      </c>
      <c r="AZ63" s="130"/>
      <c r="BA63" s="131"/>
      <c r="BB63" s="131"/>
      <c r="BC63" s="131"/>
      <c r="BD63" s="131"/>
      <c r="BE63" s="131"/>
      <c r="BF63" s="131"/>
      <c r="BG63" s="127">
        <f t="shared" ref="BG63:BG65" si="107">AY63-SUM(AZ63:BC63,BD63:BE63,BF63)</f>
        <v>0</v>
      </c>
      <c r="BI63" s="69" t="str">
        <f>IF(OR(K63&lt;0,W63&lt;0,AI63&lt;0,AU63&lt;0,BG63&lt;0),"!! Total must be &gt;= sum by situation",IF(OR(C63&lt;SUM(O63,AA63,AM63,AY63),D63&lt;SUM(P63,AB63,AN63,AZ63),E63&lt;SUM(Q63,AC63,AO63,BA63),F63&lt;SUM(R63,AD63,AP63,BB63),G63&lt;SUM(S63,AE63,AQ63,BC63),H63&lt;SUM(T63,AF63,AR63,BD63),I63&lt;SUM(U63,AG63,AS63,BE63),J63&lt;SUM(V63,AH63,AT63,BF63)),"!! Values in FU1 must be &gt;= sum of values in FU2 - FU5",""))</f>
        <v/>
      </c>
      <c r="BK63" s="246"/>
    </row>
    <row r="64" spans="1:63" x14ac:dyDescent="0.35">
      <c r="A64" s="2"/>
      <c r="B64" s="6" t="s">
        <v>6</v>
      </c>
      <c r="C64" s="213">
        <f>'Exits 2024'!C24</f>
        <v>131</v>
      </c>
      <c r="D64" s="130"/>
      <c r="E64" s="130"/>
      <c r="F64" s="130"/>
      <c r="G64" s="130"/>
      <c r="H64" s="130"/>
      <c r="I64" s="130"/>
      <c r="J64" s="130"/>
      <c r="K64" s="127">
        <f t="shared" si="103"/>
        <v>131</v>
      </c>
      <c r="M64" s="2"/>
      <c r="N64" s="6" t="s">
        <v>6</v>
      </c>
      <c r="O64" s="213">
        <f>'Exits 2024'!D24</f>
        <v>0</v>
      </c>
      <c r="P64" s="130"/>
      <c r="Q64" s="131"/>
      <c r="R64" s="131"/>
      <c r="S64" s="131"/>
      <c r="T64" s="131"/>
      <c r="U64" s="131"/>
      <c r="V64" s="131"/>
      <c r="W64" s="127">
        <f t="shared" si="104"/>
        <v>0</v>
      </c>
      <c r="Y64" s="2"/>
      <c r="Z64" s="6" t="s">
        <v>6</v>
      </c>
      <c r="AA64" s="213">
        <f>'Exits 2024'!E24</f>
        <v>0</v>
      </c>
      <c r="AB64" s="130"/>
      <c r="AC64" s="131"/>
      <c r="AD64" s="131"/>
      <c r="AE64" s="131"/>
      <c r="AF64" s="131"/>
      <c r="AG64" s="131"/>
      <c r="AH64" s="131"/>
      <c r="AI64" s="127">
        <f t="shared" si="105"/>
        <v>0</v>
      </c>
      <c r="AK64" s="2"/>
      <c r="AL64" s="6" t="s">
        <v>6</v>
      </c>
      <c r="AM64" s="213">
        <f>'Exits 2024'!F24</f>
        <v>0</v>
      </c>
      <c r="AN64" s="130"/>
      <c r="AO64" s="131"/>
      <c r="AP64" s="131"/>
      <c r="AQ64" s="131"/>
      <c r="AR64" s="131"/>
      <c r="AS64" s="131"/>
      <c r="AT64" s="131"/>
      <c r="AU64" s="127">
        <f t="shared" si="106"/>
        <v>0</v>
      </c>
      <c r="AW64" s="2"/>
      <c r="AX64" s="6" t="s">
        <v>6</v>
      </c>
      <c r="AY64" s="213">
        <f>'Exits 2024'!G24</f>
        <v>0</v>
      </c>
      <c r="AZ64" s="130"/>
      <c r="BA64" s="131"/>
      <c r="BB64" s="131"/>
      <c r="BC64" s="131"/>
      <c r="BD64" s="131"/>
      <c r="BE64" s="131"/>
      <c r="BF64" s="131"/>
      <c r="BG64" s="127">
        <f t="shared" si="107"/>
        <v>0</v>
      </c>
      <c r="BI64" s="69" t="str">
        <f>IF(OR(K64&lt;0,W64&lt;0,AI64&lt;0,AU64&lt;0,BG64&lt;0),"!! Total must be &gt;= sum by situation",IF(OR(C64&lt;SUM(O64,AA64,AM64,AY64),D64&lt;SUM(P64,AB64,AN64,AZ64),E64&lt;SUM(Q64,AC64,AO64,BA64),F64&lt;SUM(R64,AD64,AP64,BB64),G64&lt;SUM(S64,AE64,AQ64,BC64),H64&lt;SUM(T64,AF64,AR64,BD64),I64&lt;SUM(U64,AG64,AS64,BE64),J64&lt;SUM(V64,AH64,AT64,BF64)),"!! Values in FU1 must be &gt;= sum of values in FU2 - FU5",""))</f>
        <v/>
      </c>
      <c r="BK64" s="246"/>
    </row>
    <row r="65" spans="1:63" x14ac:dyDescent="0.35">
      <c r="A65" s="2"/>
      <c r="B65" s="6" t="s">
        <v>7</v>
      </c>
      <c r="C65" s="213">
        <f>'Exits 2024'!C25</f>
        <v>81</v>
      </c>
      <c r="D65" s="130"/>
      <c r="E65" s="130"/>
      <c r="F65" s="130"/>
      <c r="G65" s="130"/>
      <c r="H65" s="130"/>
      <c r="I65" s="130"/>
      <c r="J65" s="130"/>
      <c r="K65" s="127">
        <f t="shared" si="103"/>
        <v>81</v>
      </c>
      <c r="M65" s="2"/>
      <c r="N65" s="6" t="s">
        <v>7</v>
      </c>
      <c r="O65" s="213">
        <f>'Exits 2024'!D25</f>
        <v>0</v>
      </c>
      <c r="P65" s="130"/>
      <c r="Q65" s="130"/>
      <c r="R65" s="130"/>
      <c r="S65" s="130"/>
      <c r="T65" s="130"/>
      <c r="U65" s="130"/>
      <c r="V65" s="131"/>
      <c r="W65" s="127">
        <f t="shared" si="104"/>
        <v>0</v>
      </c>
      <c r="Y65" s="2"/>
      <c r="Z65" s="6" t="s">
        <v>7</v>
      </c>
      <c r="AA65" s="213">
        <f>'Exits 2024'!E25</f>
        <v>0</v>
      </c>
      <c r="AB65" s="130"/>
      <c r="AC65" s="131"/>
      <c r="AD65" s="131"/>
      <c r="AE65" s="131"/>
      <c r="AF65" s="131"/>
      <c r="AG65" s="131"/>
      <c r="AH65" s="131"/>
      <c r="AI65" s="127">
        <f t="shared" si="105"/>
        <v>0</v>
      </c>
      <c r="AK65" s="2"/>
      <c r="AL65" s="6" t="s">
        <v>7</v>
      </c>
      <c r="AM65" s="213">
        <f>'Exits 2024'!F25</f>
        <v>0</v>
      </c>
      <c r="AN65" s="130"/>
      <c r="AO65" s="130"/>
      <c r="AP65" s="130"/>
      <c r="AQ65" s="130"/>
      <c r="AR65" s="130"/>
      <c r="AS65" s="130"/>
      <c r="AT65" s="131"/>
      <c r="AU65" s="127">
        <f t="shared" si="106"/>
        <v>0</v>
      </c>
      <c r="AW65" s="2"/>
      <c r="AX65" s="6" t="s">
        <v>7</v>
      </c>
      <c r="AY65" s="213">
        <f>'Exits 2024'!G25</f>
        <v>0</v>
      </c>
      <c r="AZ65" s="130"/>
      <c r="BA65" s="130"/>
      <c r="BB65" s="130"/>
      <c r="BC65" s="130"/>
      <c r="BD65" s="130"/>
      <c r="BE65" s="130"/>
      <c r="BF65" s="131"/>
      <c r="BG65" s="127">
        <f t="shared" si="107"/>
        <v>0</v>
      </c>
      <c r="BI65" s="69" t="str">
        <f t="shared" ref="BI65:BI66" si="108">IF(OR(K65&lt;0,W65&lt;0,AI65&lt;0,AU65&lt;0,BG65&lt;0),"!! Total must be &gt;= sum by situation",IF(OR(C65&lt;SUM(O65,AA65,AM65,AY65),D65&lt;SUM(P65,AB65,AN65,AZ65),E65&lt;SUM(Q65,AC65,AO65,BA65),F65&lt;SUM(R65,AD65,AP65,BB65),G65&lt;SUM(S65,AE65,AQ65,BC65),H65&lt;SUM(T65,AF65,AR65,BD65),I65&lt;SUM(U65,AG65,AS65,BE65),J65&lt;SUM(V65,AH65,AT65,BF65)),"!! Values in FU1 must be &gt;= sum of values in FU2 - FU5",""))</f>
        <v/>
      </c>
      <c r="BK65" s="246"/>
    </row>
    <row r="66" spans="1:63" ht="15" thickBot="1" x14ac:dyDescent="0.4">
      <c r="A66" s="3"/>
      <c r="B66" s="7" t="s">
        <v>440</v>
      </c>
      <c r="C66" s="219">
        <f>'Exits 2024'!C26</f>
        <v>38</v>
      </c>
      <c r="D66" s="133"/>
      <c r="E66" s="133"/>
      <c r="F66" s="133"/>
      <c r="G66" s="133"/>
      <c r="H66" s="133"/>
      <c r="I66" s="133"/>
      <c r="J66" s="133"/>
      <c r="K66" s="128">
        <f>C66-SUM(D66:G66,H66:I66,J66)</f>
        <v>38</v>
      </c>
      <c r="M66" s="3"/>
      <c r="N66" s="7" t="s">
        <v>440</v>
      </c>
      <c r="O66" s="216">
        <f>'Exits 2024'!D26</f>
        <v>0</v>
      </c>
      <c r="P66" s="133"/>
      <c r="Q66" s="134"/>
      <c r="R66" s="134"/>
      <c r="S66" s="134"/>
      <c r="T66" s="134"/>
      <c r="U66" s="134"/>
      <c r="V66" s="134"/>
      <c r="W66" s="128">
        <f>O66-SUM(P66:S66,T66:U66,V66)</f>
        <v>0</v>
      </c>
      <c r="Y66" s="3"/>
      <c r="Z66" s="7" t="s">
        <v>440</v>
      </c>
      <c r="AA66" s="216">
        <f>'Exits 2024'!E26</f>
        <v>0</v>
      </c>
      <c r="AB66" s="133"/>
      <c r="AC66" s="134"/>
      <c r="AD66" s="134"/>
      <c r="AE66" s="134"/>
      <c r="AF66" s="134"/>
      <c r="AG66" s="134"/>
      <c r="AH66" s="134"/>
      <c r="AI66" s="128">
        <f>AA66-SUM(AB66:AE66,AF66:AG66,AH66)</f>
        <v>0</v>
      </c>
      <c r="AK66" s="3"/>
      <c r="AL66" s="7" t="s">
        <v>440</v>
      </c>
      <c r="AM66" s="216">
        <f>'Exits 2024'!F26</f>
        <v>0</v>
      </c>
      <c r="AN66" s="133"/>
      <c r="AO66" s="134"/>
      <c r="AP66" s="134"/>
      <c r="AQ66" s="134"/>
      <c r="AR66" s="134"/>
      <c r="AS66" s="134"/>
      <c r="AT66" s="134"/>
      <c r="AU66" s="128">
        <f>AM66-SUM(AN66:AQ66,AR66:AS66,AT66)</f>
        <v>0</v>
      </c>
      <c r="AW66" s="3"/>
      <c r="AX66" s="7" t="s">
        <v>440</v>
      </c>
      <c r="AY66" s="216">
        <f>'Exits 2024'!G26</f>
        <v>0</v>
      </c>
      <c r="AZ66" s="133"/>
      <c r="BA66" s="134"/>
      <c r="BB66" s="134"/>
      <c r="BC66" s="134"/>
      <c r="BD66" s="134"/>
      <c r="BE66" s="134"/>
      <c r="BF66" s="134"/>
      <c r="BG66" s="128">
        <f>AY66-SUM(AZ66:BC66,BD66:BE66,BF66)</f>
        <v>0</v>
      </c>
      <c r="BI66" s="70" t="str">
        <f t="shared" si="108"/>
        <v/>
      </c>
      <c r="BK66" s="247"/>
    </row>
    <row r="67" spans="1:63" ht="15" thickTop="1" x14ac:dyDescent="0.35"/>
  </sheetData>
  <sheetProtection algorithmName="SHA-512" hashValue="Y89ybmGuVV925PQR2EfYL9O2WVQFeSsA8XcFAQWYgdUHoN4ZZksW8Se/lusmBu+Ocssztp6qqKpq34860yE5GQ==" saltValue="Fya0kZsApIHnc6BvElWhCg==" spinCount="100000" sheet="1" formatCells="0" formatColumns="0" formatRows="0"/>
  <mergeCells count="59">
    <mergeCell ref="BI14:BI16"/>
    <mergeCell ref="BK18:BK66"/>
    <mergeCell ref="AF15:AF16"/>
    <mergeCell ref="AG15:AG16"/>
    <mergeCell ref="AT14:AT16"/>
    <mergeCell ref="AH14:AH16"/>
    <mergeCell ref="AS15:AS16"/>
    <mergeCell ref="V14:V16"/>
    <mergeCell ref="J14:J16"/>
    <mergeCell ref="BK14:BK17"/>
    <mergeCell ref="A12:K12"/>
    <mergeCell ref="M12:W12"/>
    <mergeCell ref="Y12:AI12"/>
    <mergeCell ref="AK12:AU12"/>
    <mergeCell ref="AZ15:BC15"/>
    <mergeCell ref="AK13:AL16"/>
    <mergeCell ref="AM13:AM15"/>
    <mergeCell ref="AN13:AU13"/>
    <mergeCell ref="AN14:AQ14"/>
    <mergeCell ref="AR14:AS14"/>
    <mergeCell ref="AU14:AU16"/>
    <mergeCell ref="AN15:AQ15"/>
    <mergeCell ref="AR15:AR16"/>
    <mergeCell ref="Y13:Z16"/>
    <mergeCell ref="AA13:AA15"/>
    <mergeCell ref="M3:W7"/>
    <mergeCell ref="AW13:AX16"/>
    <mergeCell ref="AY13:AY15"/>
    <mergeCell ref="AB13:AI13"/>
    <mergeCell ref="AB14:AE14"/>
    <mergeCell ref="AF14:AG14"/>
    <mergeCell ref="AI14:AI16"/>
    <mergeCell ref="AB15:AE15"/>
    <mergeCell ref="M13:N16"/>
    <mergeCell ref="O13:O15"/>
    <mergeCell ref="P13:W13"/>
    <mergeCell ref="P14:S14"/>
    <mergeCell ref="T14:U14"/>
    <mergeCell ref="W14:W16"/>
    <mergeCell ref="AZ13:BG13"/>
    <mergeCell ref="AZ14:BC14"/>
    <mergeCell ref="BD14:BE14"/>
    <mergeCell ref="BG14:BG16"/>
    <mergeCell ref="AW12:BG12"/>
    <mergeCell ref="BD15:BD16"/>
    <mergeCell ref="BE15:BE16"/>
    <mergeCell ref="BF14:BF16"/>
    <mergeCell ref="P15:S15"/>
    <mergeCell ref="T15:T16"/>
    <mergeCell ref="U15:U16"/>
    <mergeCell ref="A13:B16"/>
    <mergeCell ref="C13:C15"/>
    <mergeCell ref="D13:K13"/>
    <mergeCell ref="D14:G14"/>
    <mergeCell ref="H14:I14"/>
    <mergeCell ref="K14:K16"/>
    <mergeCell ref="D15:G15"/>
    <mergeCell ref="H15:H16"/>
    <mergeCell ref="I15:I16"/>
  </mergeCells>
  <conditionalFormatting sqref="K19:K66">
    <cfRule type="expression" dxfId="14" priority="29">
      <formula>K19&lt;0</formula>
    </cfRule>
  </conditionalFormatting>
  <conditionalFormatting sqref="W19:W66">
    <cfRule type="expression" dxfId="13" priority="22">
      <formula>W19&lt;0</formula>
    </cfRule>
  </conditionalFormatting>
  <conditionalFormatting sqref="AI19:AI66">
    <cfRule type="expression" dxfId="12" priority="15">
      <formula>AI19&lt;0</formula>
    </cfRule>
  </conditionalFormatting>
  <conditionalFormatting sqref="AU19:AU66">
    <cfRule type="expression" dxfId="11" priority="8">
      <formula>AU19&lt;0</formula>
    </cfRule>
  </conditionalFormatting>
  <conditionalFormatting sqref="BG19:BG66">
    <cfRule type="expression" dxfId="10" priority="1">
      <formula>BG19&lt;0</formula>
    </cfRule>
  </conditionalFormatting>
  <pageMargins left="0.23622047244094491" right="0.23622047244094491" top="0.35433070866141736" bottom="0.55118110236220474" header="0.31496062992125984" footer="0.11811023622047245"/>
  <pageSetup paperSize="9" orientation="landscape" r:id="rId1"/>
  <headerFooter>
    <oddFooter>&amp;LYG monitoring (pilot)&amp;R&amp;A\&amp;P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K67"/>
  <sheetViews>
    <sheetView zoomScaleNormal="100" workbookViewId="0"/>
  </sheetViews>
  <sheetFormatPr defaultColWidth="9.1796875" defaultRowHeight="14.5" x14ac:dyDescent="0.35"/>
  <cols>
    <col min="1" max="1" width="2.26953125" customWidth="1"/>
    <col min="2" max="2" width="19.7265625" customWidth="1"/>
    <col min="3" max="3" width="9.7265625" customWidth="1"/>
    <col min="4" max="4" width="9.81640625" customWidth="1"/>
    <col min="5" max="5" width="10.1796875" customWidth="1"/>
    <col min="6" max="7" width="10.453125" customWidth="1"/>
    <col min="8" max="8" width="10" customWidth="1"/>
    <col min="9" max="9" width="9.1796875" bestFit="1" customWidth="1"/>
    <col min="10" max="10" width="9.81640625" customWidth="1"/>
    <col min="11" max="11" width="10.26953125" style="31" customWidth="1"/>
    <col min="13" max="13" width="2.26953125" customWidth="1"/>
    <col min="14" max="14" width="19.81640625" customWidth="1"/>
    <col min="15" max="15" width="10.81640625" customWidth="1"/>
    <col min="16" max="16" width="9.81640625" customWidth="1"/>
    <col min="17" max="17" width="10.1796875" customWidth="1"/>
    <col min="18" max="19" width="10.453125" customWidth="1"/>
    <col min="20" max="20" width="10" customWidth="1"/>
    <col min="21" max="21" width="9.1796875" bestFit="1" customWidth="1"/>
    <col min="22" max="22" width="10.1796875" customWidth="1"/>
    <col min="23" max="23" width="10.26953125" style="31" customWidth="1"/>
    <col min="25" max="25" width="2.26953125" customWidth="1"/>
    <col min="26" max="26" width="19.54296875" customWidth="1"/>
    <col min="27" max="27" width="9.7265625" customWidth="1"/>
    <col min="28" max="28" width="9.81640625" customWidth="1"/>
    <col min="29" max="29" width="10.1796875" customWidth="1"/>
    <col min="30" max="30" width="10.7265625" customWidth="1"/>
    <col min="31" max="31" width="9.7265625" customWidth="1"/>
    <col min="32" max="32" width="10" customWidth="1"/>
    <col min="33" max="33" width="9.1796875" bestFit="1" customWidth="1"/>
    <col min="34" max="34" width="10.1796875" customWidth="1"/>
    <col min="35" max="35" width="10.26953125" style="31" customWidth="1"/>
    <col min="37" max="37" width="2.26953125" customWidth="1"/>
    <col min="38" max="38" width="20" customWidth="1"/>
    <col min="39" max="39" width="11.453125" customWidth="1"/>
    <col min="40" max="40" width="9.81640625" customWidth="1"/>
    <col min="41" max="41" width="10.1796875" customWidth="1"/>
    <col min="42" max="43" width="10.453125" customWidth="1"/>
    <col min="44" max="44" width="10" customWidth="1"/>
    <col min="45" max="45" width="9.1796875" bestFit="1" customWidth="1"/>
    <col min="46" max="46" width="9.81640625" customWidth="1"/>
    <col min="47" max="47" width="10.26953125" style="31" customWidth="1"/>
    <col min="49" max="49" width="2.26953125" customWidth="1"/>
    <col min="50" max="50" width="19.81640625" customWidth="1"/>
    <col min="51" max="51" width="10.81640625" customWidth="1"/>
    <col min="52" max="52" width="9.81640625" customWidth="1"/>
    <col min="53" max="53" width="10.1796875" customWidth="1"/>
    <col min="54" max="55" width="10.453125" customWidth="1"/>
    <col min="56" max="56" width="10" customWidth="1"/>
    <col min="57" max="57" width="9.1796875" bestFit="1" customWidth="1"/>
    <col min="58" max="58" width="9.81640625" customWidth="1"/>
    <col min="59" max="59" width="10.26953125" style="31" customWidth="1"/>
    <col min="60" max="60" width="3.54296875" customWidth="1"/>
    <col min="61" max="61" width="49.26953125" style="67" customWidth="1"/>
    <col min="62" max="62" width="3.7265625" customWidth="1"/>
    <col min="63" max="63" width="36.54296875" customWidth="1"/>
  </cols>
  <sheetData>
    <row r="1" spans="1:63" s="11" customFormat="1" ht="18.5" x14ac:dyDescent="0.45">
      <c r="A1" s="12" t="s">
        <v>241</v>
      </c>
      <c r="K1" s="30"/>
      <c r="M1" s="12"/>
      <c r="W1" s="30"/>
      <c r="Y1" s="12"/>
      <c r="AI1" s="30"/>
      <c r="AK1" s="12"/>
      <c r="AU1" s="30"/>
      <c r="AW1" s="12"/>
      <c r="BG1" s="30"/>
      <c r="BI1" s="66"/>
    </row>
    <row r="2" spans="1:63" ht="15" thickBot="1" x14ac:dyDescent="0.4">
      <c r="A2" s="1"/>
      <c r="B2" s="63"/>
    </row>
    <row r="3" spans="1:63" ht="18.5" x14ac:dyDescent="0.45">
      <c r="A3" s="94" t="s">
        <v>177</v>
      </c>
      <c r="B3" s="95"/>
      <c r="C3" s="95"/>
      <c r="D3" s="95"/>
      <c r="E3" s="95"/>
      <c r="F3" s="98">
        <f>RefYear_Main-1</f>
        <v>2024</v>
      </c>
      <c r="G3" s="96"/>
      <c r="H3" s="96"/>
      <c r="I3" s="96"/>
      <c r="J3" s="96"/>
      <c r="K3" s="97"/>
      <c r="M3" s="350" t="s">
        <v>195</v>
      </c>
      <c r="N3" s="351"/>
      <c r="O3" s="351"/>
      <c r="P3" s="351"/>
      <c r="Q3" s="351"/>
      <c r="R3" s="351"/>
      <c r="S3" s="351"/>
      <c r="T3" s="351"/>
      <c r="U3" s="351"/>
      <c r="V3" s="351"/>
      <c r="W3" s="352"/>
      <c r="BH3" s="90"/>
      <c r="BI3" s="90"/>
    </row>
    <row r="4" spans="1:63" ht="18.5" x14ac:dyDescent="0.45">
      <c r="A4" s="135" t="s">
        <v>221</v>
      </c>
      <c r="B4" s="76"/>
      <c r="C4" s="76"/>
      <c r="D4" s="76"/>
      <c r="E4" s="76"/>
      <c r="F4" s="76"/>
      <c r="G4" s="76"/>
      <c r="H4" s="76"/>
      <c r="I4" s="76"/>
      <c r="J4" s="76"/>
      <c r="K4" s="78"/>
      <c r="M4" s="353"/>
      <c r="N4" s="354"/>
      <c r="O4" s="354"/>
      <c r="P4" s="354"/>
      <c r="Q4" s="354"/>
      <c r="R4" s="354"/>
      <c r="S4" s="354"/>
      <c r="T4" s="354"/>
      <c r="U4" s="354"/>
      <c r="V4" s="354"/>
      <c r="W4" s="355"/>
      <c r="BH4" s="90"/>
      <c r="BI4" s="90"/>
    </row>
    <row r="5" spans="1:63" ht="18.5" x14ac:dyDescent="0.45">
      <c r="A5" s="77"/>
      <c r="B5" s="76" t="s">
        <v>178</v>
      </c>
      <c r="C5" s="158" t="str">
        <f ca="1">IF(12*(YEAR(NOW())-$F$3)+MONTH(NOW())&lt;7,"Partial (some ""Not applicable"")","Yes")</f>
        <v>Yes</v>
      </c>
      <c r="D5" s="76"/>
      <c r="E5" s="76"/>
      <c r="F5" s="76"/>
      <c r="G5" s="76"/>
      <c r="H5" s="76"/>
      <c r="I5" s="76"/>
      <c r="J5" s="76"/>
      <c r="K5" s="78"/>
      <c r="M5" s="353"/>
      <c r="N5" s="354"/>
      <c r="O5" s="354"/>
      <c r="P5" s="354"/>
      <c r="Q5" s="354"/>
      <c r="R5" s="354"/>
      <c r="S5" s="354"/>
      <c r="T5" s="354"/>
      <c r="U5" s="354"/>
      <c r="V5" s="354"/>
      <c r="W5" s="355"/>
      <c r="BH5" s="90"/>
      <c r="BI5" s="90"/>
    </row>
    <row r="6" spans="1:63" x14ac:dyDescent="0.35">
      <c r="A6" s="77"/>
      <c r="B6" s="76" t="s">
        <v>179</v>
      </c>
      <c r="C6" s="158" t="str">
        <f ca="1">IF(12*(YEAR(NOW())-$F$3)+MONTH(NOW())&lt;13,"Partial (some ""Not applicable"")","Yes")</f>
        <v>Yes</v>
      </c>
      <c r="D6" s="76"/>
      <c r="E6" s="76"/>
      <c r="F6" s="76"/>
      <c r="G6" s="76"/>
      <c r="H6" s="76"/>
      <c r="I6" s="76"/>
      <c r="J6" s="76"/>
      <c r="K6" s="78"/>
      <c r="M6" s="353"/>
      <c r="N6" s="354"/>
      <c r="O6" s="354"/>
      <c r="P6" s="354"/>
      <c r="Q6" s="354"/>
      <c r="R6" s="354"/>
      <c r="S6" s="354"/>
      <c r="T6" s="354"/>
      <c r="U6" s="354"/>
      <c r="V6" s="354"/>
      <c r="W6" s="355"/>
    </row>
    <row r="7" spans="1:63" ht="15" thickBot="1" x14ac:dyDescent="0.4">
      <c r="A7" s="79"/>
      <c r="B7" s="80" t="s">
        <v>180</v>
      </c>
      <c r="C7" s="157" t="str">
        <f ca="1">IF(12*(YEAR(NOW())-$F$3)+MONTH(NOW())&lt;19,"No", IF(12*(YEAR(NOW())-$F$3)+MONTH(NOW())&lt;31,"Partial (some ""Not applicable"")","Yes"))</f>
        <v>Yes</v>
      </c>
      <c r="D7" s="80"/>
      <c r="E7" s="80"/>
      <c r="F7" s="80"/>
      <c r="G7" s="80"/>
      <c r="H7" s="80"/>
      <c r="I7" s="80"/>
      <c r="J7" s="80"/>
      <c r="K7" s="81"/>
      <c r="M7" s="356"/>
      <c r="N7" s="357"/>
      <c r="O7" s="357"/>
      <c r="P7" s="357"/>
      <c r="Q7" s="357"/>
      <c r="R7" s="357"/>
      <c r="S7" s="357"/>
      <c r="T7" s="357"/>
      <c r="U7" s="357"/>
      <c r="V7" s="357"/>
      <c r="W7" s="358"/>
      <c r="BH7" s="18"/>
    </row>
    <row r="8" spans="1:63" ht="15" thickBot="1" x14ac:dyDescent="0.4">
      <c r="A8" s="138"/>
      <c r="B8" s="138"/>
      <c r="C8" s="143"/>
      <c r="D8" s="138"/>
      <c r="E8" s="138"/>
      <c r="F8" s="138"/>
      <c r="G8" s="138"/>
      <c r="H8" s="138"/>
      <c r="I8" s="138"/>
      <c r="J8" s="138"/>
      <c r="K8" s="144"/>
      <c r="M8" s="145"/>
      <c r="N8" s="145"/>
      <c r="O8" s="145"/>
      <c r="P8" s="145"/>
      <c r="Q8" s="145"/>
      <c r="R8" s="145"/>
      <c r="S8" s="145"/>
      <c r="T8" s="145"/>
      <c r="U8" s="145"/>
      <c r="V8" s="145"/>
      <c r="W8" s="145"/>
      <c r="AI8" s="146"/>
      <c r="AU8" s="146"/>
      <c r="BG8" s="146"/>
      <c r="BH8" s="18"/>
      <c r="BI8"/>
    </row>
    <row r="9" spans="1:63" s="90" customFormat="1" ht="18.5" x14ac:dyDescent="0.45">
      <c r="A9" s="150" t="s">
        <v>232</v>
      </c>
      <c r="B9" s="151"/>
      <c r="C9" s="151"/>
      <c r="D9" s="152"/>
      <c r="E9" s="151"/>
      <c r="F9" s="151"/>
      <c r="G9" s="151"/>
      <c r="H9" s="151"/>
      <c r="I9" s="151"/>
      <c r="J9" s="151"/>
      <c r="K9" s="153"/>
      <c r="BH9" s="18"/>
    </row>
    <row r="10" spans="1:63" s="90" customFormat="1" ht="19" thickBot="1" x14ac:dyDescent="0.5">
      <c r="A10" s="159" t="s">
        <v>233</v>
      </c>
      <c r="B10" s="154"/>
      <c r="C10" s="154"/>
      <c r="D10" s="155"/>
      <c r="E10" s="154"/>
      <c r="F10" s="154"/>
      <c r="G10" s="154"/>
      <c r="H10" s="154"/>
      <c r="I10" s="154"/>
      <c r="J10" s="154"/>
      <c r="K10" s="156"/>
      <c r="BH10" s="20"/>
    </row>
    <row r="11" spans="1:63" x14ac:dyDescent="0.35">
      <c r="A11" s="148"/>
      <c r="B11" s="148"/>
      <c r="C11" s="148"/>
      <c r="D11" s="149"/>
      <c r="E11" s="148"/>
      <c r="F11" s="148"/>
      <c r="G11" s="148"/>
      <c r="H11" s="148"/>
      <c r="I11" s="148"/>
      <c r="J11" s="148"/>
      <c r="K11" s="148"/>
      <c r="W11" s="146"/>
      <c r="AI11" s="146"/>
      <c r="AU11" s="146"/>
      <c r="BG11" s="146"/>
      <c r="BI11"/>
    </row>
    <row r="12" spans="1:63" ht="31.5" customHeight="1" thickBot="1" x14ac:dyDescent="0.4">
      <c r="A12" s="347" t="s">
        <v>203</v>
      </c>
      <c r="B12" s="347"/>
      <c r="C12" s="347"/>
      <c r="D12" s="347"/>
      <c r="E12" s="347"/>
      <c r="F12" s="347"/>
      <c r="G12" s="347"/>
      <c r="H12" s="347"/>
      <c r="I12" s="347"/>
      <c r="J12" s="347"/>
      <c r="K12" s="347"/>
      <c r="M12" s="347" t="s">
        <v>204</v>
      </c>
      <c r="N12" s="347"/>
      <c r="O12" s="347"/>
      <c r="P12" s="347"/>
      <c r="Q12" s="347"/>
      <c r="R12" s="347"/>
      <c r="S12" s="347"/>
      <c r="T12" s="347"/>
      <c r="U12" s="347"/>
      <c r="V12" s="347"/>
      <c r="W12" s="347"/>
      <c r="Y12" s="347" t="s">
        <v>205</v>
      </c>
      <c r="Z12" s="347"/>
      <c r="AA12" s="347"/>
      <c r="AB12" s="347"/>
      <c r="AC12" s="347"/>
      <c r="AD12" s="347"/>
      <c r="AE12" s="347"/>
      <c r="AF12" s="347"/>
      <c r="AG12" s="347"/>
      <c r="AH12" s="347"/>
      <c r="AI12" s="347"/>
      <c r="AK12" s="347" t="s">
        <v>206</v>
      </c>
      <c r="AL12" s="347"/>
      <c r="AM12" s="347"/>
      <c r="AN12" s="347"/>
      <c r="AO12" s="347"/>
      <c r="AP12" s="347"/>
      <c r="AQ12" s="347"/>
      <c r="AR12" s="347"/>
      <c r="AS12" s="347"/>
      <c r="AT12" s="347"/>
      <c r="AU12" s="347"/>
      <c r="AW12" s="347" t="s">
        <v>207</v>
      </c>
      <c r="AX12" s="347"/>
      <c r="AY12" s="347"/>
      <c r="AZ12" s="347"/>
      <c r="BA12" s="347"/>
      <c r="BB12" s="347"/>
      <c r="BC12" s="347"/>
      <c r="BD12" s="347"/>
      <c r="BE12" s="347"/>
      <c r="BF12" s="347"/>
      <c r="BG12" s="347"/>
    </row>
    <row r="13" spans="1:63" s="18" customFormat="1" ht="15.75" customHeight="1" thickTop="1" x14ac:dyDescent="0.35">
      <c r="A13" s="244" t="s">
        <v>23</v>
      </c>
      <c r="B13" s="245"/>
      <c r="C13" s="332" t="s">
        <v>101</v>
      </c>
      <c r="D13" s="342" t="s">
        <v>165</v>
      </c>
      <c r="E13" s="342"/>
      <c r="F13" s="342"/>
      <c r="G13" s="342"/>
      <c r="H13" s="342"/>
      <c r="I13" s="343"/>
      <c r="J13" s="343"/>
      <c r="K13" s="344"/>
      <c r="M13" s="242" t="s">
        <v>23</v>
      </c>
      <c r="N13" s="243"/>
      <c r="O13" s="331" t="s">
        <v>169</v>
      </c>
      <c r="P13" s="342" t="s">
        <v>165</v>
      </c>
      <c r="Q13" s="342"/>
      <c r="R13" s="342"/>
      <c r="S13" s="342"/>
      <c r="T13" s="342"/>
      <c r="U13" s="343"/>
      <c r="V13" s="343"/>
      <c r="W13" s="344"/>
      <c r="Y13" s="242" t="s">
        <v>23</v>
      </c>
      <c r="Z13" s="243"/>
      <c r="AA13" s="331" t="s">
        <v>168</v>
      </c>
      <c r="AB13" s="342" t="s">
        <v>165</v>
      </c>
      <c r="AC13" s="342"/>
      <c r="AD13" s="342"/>
      <c r="AE13" s="342"/>
      <c r="AF13" s="342"/>
      <c r="AG13" s="343"/>
      <c r="AH13" s="343"/>
      <c r="AI13" s="344"/>
      <c r="AK13" s="242" t="s">
        <v>23</v>
      </c>
      <c r="AL13" s="243"/>
      <c r="AM13" s="331" t="s">
        <v>167</v>
      </c>
      <c r="AN13" s="342" t="s">
        <v>165</v>
      </c>
      <c r="AO13" s="342"/>
      <c r="AP13" s="342"/>
      <c r="AQ13" s="342"/>
      <c r="AR13" s="342"/>
      <c r="AS13" s="343"/>
      <c r="AT13" s="343"/>
      <c r="AU13" s="344"/>
      <c r="AW13" s="242" t="s">
        <v>23</v>
      </c>
      <c r="AX13" s="243"/>
      <c r="AY13" s="331" t="s">
        <v>166</v>
      </c>
      <c r="AZ13" s="342" t="s">
        <v>165</v>
      </c>
      <c r="BA13" s="342"/>
      <c r="BB13" s="342"/>
      <c r="BC13" s="342"/>
      <c r="BD13" s="342"/>
      <c r="BE13" s="343"/>
      <c r="BF13" s="343"/>
      <c r="BG13" s="344"/>
      <c r="BH13"/>
      <c r="BI13" s="65" t="s">
        <v>121</v>
      </c>
      <c r="BK13" s="72" t="s">
        <v>122</v>
      </c>
    </row>
    <row r="14" spans="1:63" s="18" customFormat="1" ht="15" customHeight="1" x14ac:dyDescent="0.35">
      <c r="A14" s="244"/>
      <c r="B14" s="245"/>
      <c r="C14" s="332"/>
      <c r="D14" s="327" t="s">
        <v>164</v>
      </c>
      <c r="E14" s="327"/>
      <c r="F14" s="327"/>
      <c r="G14" s="327"/>
      <c r="H14" s="335" t="s">
        <v>98</v>
      </c>
      <c r="I14" s="336"/>
      <c r="J14" s="348" t="s">
        <v>231</v>
      </c>
      <c r="K14" s="337" t="s">
        <v>21</v>
      </c>
      <c r="M14" s="244"/>
      <c r="N14" s="245"/>
      <c r="O14" s="332"/>
      <c r="P14" s="327" t="s">
        <v>164</v>
      </c>
      <c r="Q14" s="327"/>
      <c r="R14" s="327"/>
      <c r="S14" s="327"/>
      <c r="T14" s="335" t="s">
        <v>98</v>
      </c>
      <c r="U14" s="336"/>
      <c r="V14" s="348" t="s">
        <v>231</v>
      </c>
      <c r="W14" s="337" t="s">
        <v>21</v>
      </c>
      <c r="Y14" s="244"/>
      <c r="Z14" s="245"/>
      <c r="AA14" s="332"/>
      <c r="AB14" s="327" t="s">
        <v>164</v>
      </c>
      <c r="AC14" s="327"/>
      <c r="AD14" s="327"/>
      <c r="AE14" s="327"/>
      <c r="AF14" s="335" t="s">
        <v>98</v>
      </c>
      <c r="AG14" s="336"/>
      <c r="AH14" s="348" t="s">
        <v>231</v>
      </c>
      <c r="AI14" s="337" t="s">
        <v>21</v>
      </c>
      <c r="AK14" s="244"/>
      <c r="AL14" s="245"/>
      <c r="AM14" s="332"/>
      <c r="AN14" s="327" t="s">
        <v>164</v>
      </c>
      <c r="AO14" s="327"/>
      <c r="AP14" s="327"/>
      <c r="AQ14" s="327"/>
      <c r="AR14" s="335" t="s">
        <v>98</v>
      </c>
      <c r="AS14" s="336"/>
      <c r="AT14" s="348" t="s">
        <v>231</v>
      </c>
      <c r="AU14" s="337" t="s">
        <v>21</v>
      </c>
      <c r="AW14" s="244"/>
      <c r="AX14" s="245"/>
      <c r="AY14" s="332"/>
      <c r="AZ14" s="327" t="s">
        <v>164</v>
      </c>
      <c r="BA14" s="327"/>
      <c r="BB14" s="327"/>
      <c r="BC14" s="327"/>
      <c r="BD14" s="335" t="s">
        <v>98</v>
      </c>
      <c r="BE14" s="336"/>
      <c r="BF14" s="348" t="s">
        <v>231</v>
      </c>
      <c r="BG14" s="345" t="s">
        <v>21</v>
      </c>
      <c r="BH14"/>
      <c r="BI14" s="325" t="s">
        <v>171</v>
      </c>
      <c r="BK14" s="359" t="s">
        <v>123</v>
      </c>
    </row>
    <row r="15" spans="1:63" s="18" customFormat="1" ht="15" customHeight="1" x14ac:dyDescent="0.35">
      <c r="A15" s="244"/>
      <c r="B15" s="245"/>
      <c r="C15" s="333"/>
      <c r="D15" s="327" t="s">
        <v>3</v>
      </c>
      <c r="E15" s="327"/>
      <c r="F15" s="327"/>
      <c r="G15" s="327"/>
      <c r="H15" s="340" t="s">
        <v>113</v>
      </c>
      <c r="I15" s="340" t="s">
        <v>114</v>
      </c>
      <c r="J15" s="349"/>
      <c r="K15" s="338"/>
      <c r="M15" s="244"/>
      <c r="N15" s="245"/>
      <c r="O15" s="333"/>
      <c r="P15" s="327" t="s">
        <v>3</v>
      </c>
      <c r="Q15" s="327"/>
      <c r="R15" s="327"/>
      <c r="S15" s="327"/>
      <c r="T15" s="340" t="s">
        <v>113</v>
      </c>
      <c r="U15" s="340" t="s">
        <v>114</v>
      </c>
      <c r="V15" s="349"/>
      <c r="W15" s="338"/>
      <c r="Y15" s="244"/>
      <c r="Z15" s="245"/>
      <c r="AA15" s="333"/>
      <c r="AB15" s="327" t="s">
        <v>3</v>
      </c>
      <c r="AC15" s="327"/>
      <c r="AD15" s="327"/>
      <c r="AE15" s="327"/>
      <c r="AF15" s="340" t="s">
        <v>113</v>
      </c>
      <c r="AG15" s="340" t="s">
        <v>114</v>
      </c>
      <c r="AH15" s="349"/>
      <c r="AI15" s="338"/>
      <c r="AK15" s="244"/>
      <c r="AL15" s="245"/>
      <c r="AM15" s="333"/>
      <c r="AN15" s="327" t="s">
        <v>3</v>
      </c>
      <c r="AO15" s="327"/>
      <c r="AP15" s="327"/>
      <c r="AQ15" s="327"/>
      <c r="AR15" s="340" t="s">
        <v>113</v>
      </c>
      <c r="AS15" s="340" t="s">
        <v>114</v>
      </c>
      <c r="AT15" s="349"/>
      <c r="AU15" s="338"/>
      <c r="AW15" s="244"/>
      <c r="AX15" s="245"/>
      <c r="AY15" s="333"/>
      <c r="AZ15" s="327" t="s">
        <v>3</v>
      </c>
      <c r="BA15" s="327"/>
      <c r="BB15" s="327"/>
      <c r="BC15" s="327"/>
      <c r="BD15" s="340" t="s">
        <v>113</v>
      </c>
      <c r="BE15" s="340" t="s">
        <v>114</v>
      </c>
      <c r="BF15" s="349"/>
      <c r="BG15" s="346"/>
      <c r="BH15"/>
      <c r="BI15" s="325"/>
      <c r="BK15" s="359"/>
    </row>
    <row r="16" spans="1:63" s="20" customFormat="1" ht="15" thickBot="1" x14ac:dyDescent="0.4">
      <c r="A16" s="244"/>
      <c r="B16" s="245"/>
      <c r="C16" s="19" t="s">
        <v>3</v>
      </c>
      <c r="D16" s="33" t="s">
        <v>109</v>
      </c>
      <c r="E16" s="33" t="s">
        <v>110</v>
      </c>
      <c r="F16" s="33" t="s">
        <v>111</v>
      </c>
      <c r="G16" s="33" t="s">
        <v>112</v>
      </c>
      <c r="H16" s="340"/>
      <c r="I16" s="340"/>
      <c r="J16" s="349"/>
      <c r="K16" s="338"/>
      <c r="M16" s="244"/>
      <c r="N16" s="245"/>
      <c r="O16" s="19" t="s">
        <v>3</v>
      </c>
      <c r="P16" s="33" t="s">
        <v>109</v>
      </c>
      <c r="Q16" s="33" t="s">
        <v>110</v>
      </c>
      <c r="R16" s="33" t="s">
        <v>111</v>
      </c>
      <c r="S16" s="33" t="s">
        <v>112</v>
      </c>
      <c r="T16" s="340"/>
      <c r="U16" s="340"/>
      <c r="V16" s="349"/>
      <c r="W16" s="338"/>
      <c r="Y16" s="244"/>
      <c r="Z16" s="245"/>
      <c r="AA16" s="19" t="s">
        <v>3</v>
      </c>
      <c r="AB16" s="33" t="s">
        <v>109</v>
      </c>
      <c r="AC16" s="33" t="s">
        <v>110</v>
      </c>
      <c r="AD16" s="33" t="s">
        <v>111</v>
      </c>
      <c r="AE16" s="33" t="s">
        <v>112</v>
      </c>
      <c r="AF16" s="340"/>
      <c r="AG16" s="340"/>
      <c r="AH16" s="349"/>
      <c r="AI16" s="338"/>
      <c r="AK16" s="244"/>
      <c r="AL16" s="245"/>
      <c r="AM16" s="19" t="s">
        <v>3</v>
      </c>
      <c r="AN16" s="33" t="s">
        <v>109</v>
      </c>
      <c r="AO16" s="33" t="s">
        <v>110</v>
      </c>
      <c r="AP16" s="33" t="s">
        <v>111</v>
      </c>
      <c r="AQ16" s="33" t="s">
        <v>112</v>
      </c>
      <c r="AR16" s="340"/>
      <c r="AS16" s="340"/>
      <c r="AT16" s="349"/>
      <c r="AU16" s="338"/>
      <c r="AW16" s="244"/>
      <c r="AX16" s="245"/>
      <c r="AY16" s="19" t="s">
        <v>3</v>
      </c>
      <c r="AZ16" s="33" t="s">
        <v>109</v>
      </c>
      <c r="BA16" s="33" t="s">
        <v>110</v>
      </c>
      <c r="BB16" s="33" t="s">
        <v>111</v>
      </c>
      <c r="BC16" s="33" t="s">
        <v>112</v>
      </c>
      <c r="BD16" s="340"/>
      <c r="BE16" s="340"/>
      <c r="BF16" s="349"/>
      <c r="BG16" s="346"/>
      <c r="BH16"/>
      <c r="BI16" s="339"/>
      <c r="BK16" s="359"/>
    </row>
    <row r="17" spans="1:63" ht="15" thickBot="1" x14ac:dyDescent="0.4">
      <c r="A17" s="21" t="s">
        <v>163</v>
      </c>
      <c r="B17" s="22"/>
      <c r="C17" s="217"/>
      <c r="D17" s="24"/>
      <c r="E17" s="25"/>
      <c r="F17" s="25"/>
      <c r="G17" s="25"/>
      <c r="H17" s="25"/>
      <c r="I17" s="25"/>
      <c r="J17" s="25"/>
      <c r="K17" s="32"/>
      <c r="M17" s="21" t="s">
        <v>163</v>
      </c>
      <c r="N17" s="22"/>
      <c r="O17" s="217"/>
      <c r="P17" s="24"/>
      <c r="Q17" s="25"/>
      <c r="R17" s="25"/>
      <c r="S17" s="25"/>
      <c r="T17" s="25"/>
      <c r="U17" s="25"/>
      <c r="V17" s="25"/>
      <c r="W17" s="32"/>
      <c r="Y17" s="21" t="s">
        <v>163</v>
      </c>
      <c r="Z17" s="22"/>
      <c r="AA17" s="217"/>
      <c r="AB17" s="24"/>
      <c r="AC17" s="25"/>
      <c r="AD17" s="25"/>
      <c r="AE17" s="25"/>
      <c r="AF17" s="25"/>
      <c r="AG17" s="25"/>
      <c r="AH17" s="25"/>
      <c r="AI17" s="32"/>
      <c r="AK17" s="21" t="s">
        <v>163</v>
      </c>
      <c r="AL17" s="22"/>
      <c r="AM17" s="217"/>
      <c r="AN17" s="24"/>
      <c r="AO17" s="25"/>
      <c r="AP17" s="25"/>
      <c r="AQ17" s="25"/>
      <c r="AR17" s="25"/>
      <c r="AS17" s="25"/>
      <c r="AT17" s="25"/>
      <c r="AU17" s="32"/>
      <c r="AW17" s="21" t="s">
        <v>163</v>
      </c>
      <c r="AX17" s="22"/>
      <c r="AY17" s="23"/>
      <c r="AZ17" s="24"/>
      <c r="BA17" s="25"/>
      <c r="BB17" s="25"/>
      <c r="BC17" s="25"/>
      <c r="BD17" s="25"/>
      <c r="BE17" s="25"/>
      <c r="BF17" s="25"/>
      <c r="BG17" s="32"/>
      <c r="BI17" s="205"/>
      <c r="BK17" s="360"/>
    </row>
    <row r="18" spans="1:63" x14ac:dyDescent="0.35">
      <c r="A18" s="224" t="s">
        <v>106</v>
      </c>
      <c r="B18" s="220"/>
      <c r="C18" s="212" t="s">
        <v>3</v>
      </c>
      <c r="D18" s="221" t="s">
        <v>15</v>
      </c>
      <c r="E18" s="221" t="s">
        <v>16</v>
      </c>
      <c r="F18" s="221" t="s">
        <v>17</v>
      </c>
      <c r="G18" s="221" t="s">
        <v>18</v>
      </c>
      <c r="H18" s="221" t="s">
        <v>20</v>
      </c>
      <c r="I18" s="222" t="s">
        <v>100</v>
      </c>
      <c r="J18" s="222" t="s">
        <v>231</v>
      </c>
      <c r="K18" s="223" t="s">
        <v>21</v>
      </c>
      <c r="M18" s="224" t="s">
        <v>106</v>
      </c>
      <c r="N18" s="220"/>
      <c r="O18" s="212" t="s">
        <v>3</v>
      </c>
      <c r="P18" s="221" t="s">
        <v>15</v>
      </c>
      <c r="Q18" s="221" t="s">
        <v>16</v>
      </c>
      <c r="R18" s="221" t="s">
        <v>17</v>
      </c>
      <c r="S18" s="221" t="s">
        <v>18</v>
      </c>
      <c r="T18" s="221" t="s">
        <v>20</v>
      </c>
      <c r="U18" s="222" t="s">
        <v>100</v>
      </c>
      <c r="V18" s="222" t="s">
        <v>231</v>
      </c>
      <c r="W18" s="223" t="s">
        <v>21</v>
      </c>
      <c r="Y18" s="224" t="s">
        <v>106</v>
      </c>
      <c r="Z18" s="220"/>
      <c r="AA18" s="212" t="s">
        <v>3</v>
      </c>
      <c r="AB18" s="221" t="s">
        <v>15</v>
      </c>
      <c r="AC18" s="221" t="s">
        <v>16</v>
      </c>
      <c r="AD18" s="221" t="s">
        <v>17</v>
      </c>
      <c r="AE18" s="221" t="s">
        <v>18</v>
      </c>
      <c r="AF18" s="221" t="s">
        <v>20</v>
      </c>
      <c r="AG18" s="222" t="s">
        <v>100</v>
      </c>
      <c r="AH18" s="222" t="s">
        <v>231</v>
      </c>
      <c r="AI18" s="223" t="s">
        <v>21</v>
      </c>
      <c r="AK18" s="224" t="s">
        <v>106</v>
      </c>
      <c r="AL18" s="220"/>
      <c r="AM18" s="212" t="s">
        <v>3</v>
      </c>
      <c r="AN18" s="221" t="s">
        <v>15</v>
      </c>
      <c r="AO18" s="221" t="s">
        <v>16</v>
      </c>
      <c r="AP18" s="221" t="s">
        <v>17</v>
      </c>
      <c r="AQ18" s="221" t="s">
        <v>18</v>
      </c>
      <c r="AR18" s="221" t="s">
        <v>20</v>
      </c>
      <c r="AS18" s="222" t="s">
        <v>100</v>
      </c>
      <c r="AT18" s="222" t="s">
        <v>231</v>
      </c>
      <c r="AU18" s="223" t="s">
        <v>21</v>
      </c>
      <c r="AW18" s="224" t="s">
        <v>106</v>
      </c>
      <c r="AX18" s="220"/>
      <c r="AY18" s="212" t="s">
        <v>3</v>
      </c>
      <c r="AZ18" s="221" t="s">
        <v>15</v>
      </c>
      <c r="BA18" s="221" t="s">
        <v>16</v>
      </c>
      <c r="BB18" s="221" t="s">
        <v>17</v>
      </c>
      <c r="BC18" s="221" t="s">
        <v>18</v>
      </c>
      <c r="BD18" s="221" t="s">
        <v>20</v>
      </c>
      <c r="BE18" s="222" t="s">
        <v>100</v>
      </c>
      <c r="BF18" s="222" t="s">
        <v>231</v>
      </c>
      <c r="BG18" s="223" t="s">
        <v>21</v>
      </c>
      <c r="BI18" s="69" t="str" cm="1">
        <f t="array" ref="BI18">IF(OR(SUM(IF(O19:W22&lt;(O24:W27+O29:W32),1,0)),SUM(IF(C19:K22&lt;(C24:K27+C29:K32),1,0)),SUM(IF(AA19:AI22&lt;(AA24:AI27+AA29:AI32),1,0)), SUM(IF(AM19:AU22&lt;(AM24:AU27+AM29:AU32),1,0)), SUM(IF(AY19:BG22&lt;(AY24:BG27+AY29:BG32),1,0))),"!! Check sum by sex for one or more columns/rows","")</f>
        <v/>
      </c>
      <c r="BK18" s="341"/>
    </row>
    <row r="19" spans="1:63" x14ac:dyDescent="0.35">
      <c r="A19" s="2"/>
      <c r="B19" s="6" t="s">
        <v>441</v>
      </c>
      <c r="C19" s="130"/>
      <c r="D19" s="130"/>
      <c r="E19" s="130"/>
      <c r="F19" s="130"/>
      <c r="G19" s="130"/>
      <c r="H19" s="130"/>
      <c r="I19" s="130"/>
      <c r="J19" s="130"/>
      <c r="K19" s="127">
        <f>C19-SUM(D19:G19,H19:I19,J19)</f>
        <v>0</v>
      </c>
      <c r="M19" s="2"/>
      <c r="N19" s="6" t="s">
        <v>441</v>
      </c>
      <c r="O19" s="130"/>
      <c r="P19" s="130"/>
      <c r="Q19" s="130"/>
      <c r="R19" s="130"/>
      <c r="S19" s="130"/>
      <c r="T19" s="130"/>
      <c r="U19" s="130"/>
      <c r="V19" s="130"/>
      <c r="W19" s="127">
        <f>O19-SUM(P19:S19,T19:U19,V19)</f>
        <v>0</v>
      </c>
      <c r="Y19" s="2"/>
      <c r="Z19" s="6" t="s">
        <v>441</v>
      </c>
      <c r="AA19" s="130"/>
      <c r="AB19" s="130"/>
      <c r="AC19" s="130"/>
      <c r="AD19" s="130"/>
      <c r="AE19" s="130"/>
      <c r="AF19" s="130"/>
      <c r="AG19" s="130"/>
      <c r="AH19" s="130"/>
      <c r="AI19" s="127">
        <f>AA19-SUM(AB19:AE19,AF19:AG19,AH19)</f>
        <v>0</v>
      </c>
      <c r="AK19" s="2"/>
      <c r="AL19" s="6" t="s">
        <v>441</v>
      </c>
      <c r="AM19" s="130"/>
      <c r="AN19" s="130"/>
      <c r="AO19" s="130"/>
      <c r="AP19" s="130"/>
      <c r="AQ19" s="130"/>
      <c r="AR19" s="130"/>
      <c r="AS19" s="130"/>
      <c r="AT19" s="130"/>
      <c r="AU19" s="127">
        <f>AM19-SUM(AN19:AQ19,AR19:AS19,AT19)</f>
        <v>0</v>
      </c>
      <c r="AW19" s="2"/>
      <c r="AX19" s="6" t="s">
        <v>441</v>
      </c>
      <c r="AY19" s="130"/>
      <c r="AZ19" s="130"/>
      <c r="BA19" s="130"/>
      <c r="BB19" s="130"/>
      <c r="BC19" s="130"/>
      <c r="BD19" s="130"/>
      <c r="BE19" s="130"/>
      <c r="BF19" s="130"/>
      <c r="BG19" s="127">
        <f>AY19-SUM(AZ19:BC19,BD19:BE19,BF19)</f>
        <v>0</v>
      </c>
      <c r="BI19" s="69" t="str">
        <f>IF(OR(K19&lt;0,W19&lt;0,AI19&lt;0,AU19&lt;0,BG19&lt;0),"!! Total must be &gt;= sum by situation",IF(OR(C19&lt;SUM(O19,AA19,AM19,AY19),D19&lt;SUM(P19,AB19,AN19,AZ19),E19&lt;SUM(Q19,AC19,AO19,BA19),F19&lt;SUM(R19,AD19,AP19,BB19),G19&lt;SUM(S19,AE19,AQ19,BC19),H19&lt;SUM(T19,AF19,AR19,BD19),I19&lt;SUM(U19,AG19,AS19,BE19),J19&lt;SUM(V19,AH19,AT19,BF19)),"!! Values in FU1 must be &gt;= sum of values in FU2 - FU5",""))</f>
        <v/>
      </c>
      <c r="BK19" s="246"/>
    </row>
    <row r="20" spans="1:63" x14ac:dyDescent="0.35">
      <c r="A20" s="2"/>
      <c r="B20" s="6" t="s">
        <v>6</v>
      </c>
      <c r="C20" s="130"/>
      <c r="D20" s="130"/>
      <c r="E20" s="130"/>
      <c r="F20" s="130"/>
      <c r="G20" s="130"/>
      <c r="H20" s="130"/>
      <c r="I20" s="130"/>
      <c r="J20" s="130"/>
      <c r="K20" s="127">
        <f t="shared" ref="K20:K22" si="0">C20-SUM(D20:G20,H20:I20,J20)</f>
        <v>0</v>
      </c>
      <c r="M20" s="2"/>
      <c r="N20" s="6" t="s">
        <v>6</v>
      </c>
      <c r="O20" s="130"/>
      <c r="P20" s="130"/>
      <c r="Q20" s="130"/>
      <c r="R20" s="130"/>
      <c r="S20" s="130"/>
      <c r="T20" s="130"/>
      <c r="U20" s="130"/>
      <c r="V20" s="130"/>
      <c r="W20" s="127">
        <f t="shared" ref="W20:W22" si="1">O20-SUM(P20:S20,T20:U20,V20)</f>
        <v>0</v>
      </c>
      <c r="Y20" s="2"/>
      <c r="Z20" s="6" t="s">
        <v>6</v>
      </c>
      <c r="AA20" s="130"/>
      <c r="AB20" s="130"/>
      <c r="AC20" s="130"/>
      <c r="AD20" s="130"/>
      <c r="AE20" s="130"/>
      <c r="AF20" s="130"/>
      <c r="AG20" s="130"/>
      <c r="AH20" s="130"/>
      <c r="AI20" s="127">
        <f t="shared" ref="AI20:AI22" si="2">AA20-SUM(AB20:AE20,AF20:AG20,AH20)</f>
        <v>0</v>
      </c>
      <c r="AK20" s="2"/>
      <c r="AL20" s="6" t="s">
        <v>6</v>
      </c>
      <c r="AM20" s="130"/>
      <c r="AN20" s="130"/>
      <c r="AO20" s="130"/>
      <c r="AP20" s="130"/>
      <c r="AQ20" s="130"/>
      <c r="AR20" s="130"/>
      <c r="AS20" s="130"/>
      <c r="AT20" s="130"/>
      <c r="AU20" s="127">
        <f t="shared" ref="AU20:AU22" si="3">AM20-SUM(AN20:AQ20,AR20:AS20,AT20)</f>
        <v>0</v>
      </c>
      <c r="AW20" s="2"/>
      <c r="AX20" s="6" t="s">
        <v>6</v>
      </c>
      <c r="AY20" s="130"/>
      <c r="AZ20" s="130"/>
      <c r="BA20" s="130"/>
      <c r="BB20" s="130"/>
      <c r="BC20" s="130"/>
      <c r="BD20" s="130"/>
      <c r="BE20" s="130"/>
      <c r="BF20" s="130"/>
      <c r="BG20" s="127">
        <f>AY20-SUM(AZ20:BC20,BD20:BE20,BF20)</f>
        <v>0</v>
      </c>
      <c r="BI20" s="69" t="str">
        <f>IF(OR(K20&lt;0,W20&lt;0,AI20&lt;0,AU20&lt;0,BG20&lt;0),"!! Total must be &gt;= sum by situation",IF(OR(C20&lt;SUM(O20,AA20,AM20,AY20),D20&lt;SUM(P20,AB20,AN20,AZ20),E20&lt;SUM(Q20,AC20,AO20,BA20),F20&lt;SUM(R20,AD20,AP20,BB20),G20&lt;SUM(S20,AE20,AQ20,BC20),H20&lt;SUM(T20,AF20,AR20,BD20),I20&lt;SUM(U20,AG20,AS20,BE20),J20&lt;SUM(V20,AH20,AT20,BF20)),"!! Values in FU1 must be &gt;= sum of values in FU2 - FU5",""))</f>
        <v/>
      </c>
      <c r="BK20" s="246"/>
    </row>
    <row r="21" spans="1:63" x14ac:dyDescent="0.35">
      <c r="A21" s="2"/>
      <c r="B21" s="6" t="s">
        <v>7</v>
      </c>
      <c r="C21" s="130"/>
      <c r="D21" s="130"/>
      <c r="E21" s="130"/>
      <c r="F21" s="130"/>
      <c r="G21" s="130"/>
      <c r="H21" s="130"/>
      <c r="I21" s="130"/>
      <c r="J21" s="130"/>
      <c r="K21" s="127">
        <f t="shared" si="0"/>
        <v>0</v>
      </c>
      <c r="M21" s="2"/>
      <c r="N21" s="6" t="s">
        <v>7</v>
      </c>
      <c r="O21" s="130"/>
      <c r="P21" s="130"/>
      <c r="Q21" s="130"/>
      <c r="R21" s="130"/>
      <c r="S21" s="130"/>
      <c r="T21" s="130"/>
      <c r="U21" s="130"/>
      <c r="V21" s="130"/>
      <c r="W21" s="127">
        <f t="shared" si="1"/>
        <v>0</v>
      </c>
      <c r="Y21" s="2"/>
      <c r="Z21" s="6" t="s">
        <v>7</v>
      </c>
      <c r="AA21" s="130"/>
      <c r="AB21" s="130"/>
      <c r="AC21" s="130"/>
      <c r="AD21" s="130"/>
      <c r="AE21" s="130"/>
      <c r="AF21" s="130"/>
      <c r="AG21" s="130"/>
      <c r="AH21" s="130"/>
      <c r="AI21" s="127">
        <f t="shared" si="2"/>
        <v>0</v>
      </c>
      <c r="AK21" s="2"/>
      <c r="AL21" s="6" t="s">
        <v>7</v>
      </c>
      <c r="AM21" s="130"/>
      <c r="AN21" s="130"/>
      <c r="AO21" s="130"/>
      <c r="AP21" s="130"/>
      <c r="AQ21" s="130"/>
      <c r="AR21" s="130"/>
      <c r="AS21" s="130"/>
      <c r="AT21" s="130"/>
      <c r="AU21" s="127">
        <f t="shared" si="3"/>
        <v>0</v>
      </c>
      <c r="AW21" s="2"/>
      <c r="AX21" s="6" t="s">
        <v>7</v>
      </c>
      <c r="AY21" s="130"/>
      <c r="AZ21" s="130"/>
      <c r="BA21" s="130"/>
      <c r="BB21" s="130"/>
      <c r="BC21" s="130"/>
      <c r="BD21" s="130"/>
      <c r="BE21" s="130"/>
      <c r="BF21" s="130"/>
      <c r="BG21" s="127">
        <f>AY21-SUM(AZ21:BC21,BD21:BE21,BF21)</f>
        <v>0</v>
      </c>
      <c r="BI21" s="69" t="str">
        <f t="shared" ref="BI21:BI22" si="4">IF(OR(K21&lt;0,W21&lt;0,AI21&lt;0,AU21&lt;0,BG21&lt;0),"!! Total must be &gt;= sum by situation",IF(OR(C21&lt;SUM(O21,AA21,AM21,AY21),D21&lt;SUM(P21,AB21,AN21,AZ21),E21&lt;SUM(Q21,AC21,AO21,BA21),F21&lt;SUM(R21,AD21,AP21,BB21),G21&lt;SUM(S21,AE21,AQ21,BC21),H21&lt;SUM(T21,AF21,AR21,BD21),I21&lt;SUM(U21,AG21,AS21,BE21),J21&lt;SUM(V21,AH21,AT21,BF21)),"!! Values in FU1 must be &gt;= sum of values in FU2 - FU5",""))</f>
        <v/>
      </c>
      <c r="BK21" s="246"/>
    </row>
    <row r="22" spans="1:63" x14ac:dyDescent="0.35">
      <c r="A22" s="2"/>
      <c r="B22" s="6" t="s">
        <v>440</v>
      </c>
      <c r="C22" s="130"/>
      <c r="D22" s="130"/>
      <c r="E22" s="130"/>
      <c r="F22" s="130"/>
      <c r="G22" s="130"/>
      <c r="H22" s="130"/>
      <c r="I22" s="130"/>
      <c r="J22" s="130"/>
      <c r="K22" s="127">
        <f t="shared" si="0"/>
        <v>0</v>
      </c>
      <c r="M22" s="2"/>
      <c r="N22" s="6" t="s">
        <v>440</v>
      </c>
      <c r="O22" s="130"/>
      <c r="P22" s="130"/>
      <c r="Q22" s="130"/>
      <c r="R22" s="130"/>
      <c r="S22" s="130"/>
      <c r="T22" s="130"/>
      <c r="U22" s="130"/>
      <c r="V22" s="130"/>
      <c r="W22" s="127">
        <f t="shared" si="1"/>
        <v>0</v>
      </c>
      <c r="Y22" s="2"/>
      <c r="Z22" s="6" t="s">
        <v>440</v>
      </c>
      <c r="AA22" s="130"/>
      <c r="AB22" s="130"/>
      <c r="AC22" s="130"/>
      <c r="AD22" s="130"/>
      <c r="AE22" s="130"/>
      <c r="AF22" s="130"/>
      <c r="AG22" s="130"/>
      <c r="AH22" s="130"/>
      <c r="AI22" s="127">
        <f t="shared" si="2"/>
        <v>0</v>
      </c>
      <c r="AK22" s="2"/>
      <c r="AL22" s="6" t="s">
        <v>440</v>
      </c>
      <c r="AM22" s="130"/>
      <c r="AN22" s="130"/>
      <c r="AO22" s="130"/>
      <c r="AP22" s="130"/>
      <c r="AQ22" s="130"/>
      <c r="AR22" s="130"/>
      <c r="AS22" s="130"/>
      <c r="AT22" s="130"/>
      <c r="AU22" s="127">
        <f t="shared" si="3"/>
        <v>0</v>
      </c>
      <c r="AW22" s="2"/>
      <c r="AX22" s="6" t="s">
        <v>440</v>
      </c>
      <c r="AY22" s="130"/>
      <c r="AZ22" s="130"/>
      <c r="BA22" s="130"/>
      <c r="BB22" s="130"/>
      <c r="BC22" s="130"/>
      <c r="BD22" s="130"/>
      <c r="BE22" s="130"/>
      <c r="BF22" s="130"/>
      <c r="BG22" s="127">
        <f>AY22-SUM(AZ22:BC22,BD22:BE22,BF22)</f>
        <v>0</v>
      </c>
      <c r="BI22" s="69" t="str">
        <f t="shared" si="4"/>
        <v/>
      </c>
      <c r="BK22" s="246"/>
    </row>
    <row r="23" spans="1:63" x14ac:dyDescent="0.35">
      <c r="A23" s="224" t="s">
        <v>4</v>
      </c>
      <c r="B23" s="220"/>
      <c r="C23" s="212" t="str">
        <f>C$18</f>
        <v>Total</v>
      </c>
      <c r="D23" s="221" t="str">
        <f>D$18</f>
        <v>Employment</v>
      </c>
      <c r="E23" s="221" t="str">
        <f t="shared" ref="E23:J23" si="5">E$18</f>
        <v>Education</v>
      </c>
      <c r="F23" s="221" t="str">
        <f t="shared" si="5"/>
        <v>Apprenticeship</v>
      </c>
      <c r="G23" s="221" t="str">
        <f t="shared" si="5"/>
        <v>Traineeship</v>
      </c>
      <c r="H23" s="221" t="str">
        <f t="shared" si="5"/>
        <v>Unemployment</v>
      </c>
      <c r="I23" s="221" t="str">
        <f t="shared" si="5"/>
        <v>Inactivity</v>
      </c>
      <c r="J23" s="221" t="str">
        <f t="shared" si="5"/>
        <v>Not applicable</v>
      </c>
      <c r="K23" s="223" t="str">
        <f t="shared" ref="K23" si="6">K$18</f>
        <v>Unknown</v>
      </c>
      <c r="M23" s="224" t="s">
        <v>4</v>
      </c>
      <c r="N23" s="220"/>
      <c r="O23" s="212" t="str">
        <f>O$18</f>
        <v>Total</v>
      </c>
      <c r="P23" s="221" t="str">
        <f>P$18</f>
        <v>Employment</v>
      </c>
      <c r="Q23" s="221" t="str">
        <f t="shared" ref="Q23:V23" si="7">Q$18</f>
        <v>Education</v>
      </c>
      <c r="R23" s="221" t="str">
        <f t="shared" si="7"/>
        <v>Apprenticeship</v>
      </c>
      <c r="S23" s="221" t="str">
        <f t="shared" si="7"/>
        <v>Traineeship</v>
      </c>
      <c r="T23" s="221" t="str">
        <f t="shared" si="7"/>
        <v>Unemployment</v>
      </c>
      <c r="U23" s="221" t="str">
        <f t="shared" si="7"/>
        <v>Inactivity</v>
      </c>
      <c r="V23" s="221" t="str">
        <f t="shared" si="7"/>
        <v>Not applicable</v>
      </c>
      <c r="W23" s="223" t="str">
        <f t="shared" ref="W23" si="8">W$18</f>
        <v>Unknown</v>
      </c>
      <c r="Y23" s="224" t="s">
        <v>4</v>
      </c>
      <c r="Z23" s="220"/>
      <c r="AA23" s="212" t="str">
        <f>AA$18</f>
        <v>Total</v>
      </c>
      <c r="AB23" s="221" t="str">
        <f>AB$18</f>
        <v>Employment</v>
      </c>
      <c r="AC23" s="221" t="str">
        <f t="shared" ref="AC23:AH23" si="9">AC$18</f>
        <v>Education</v>
      </c>
      <c r="AD23" s="221" t="str">
        <f t="shared" si="9"/>
        <v>Apprenticeship</v>
      </c>
      <c r="AE23" s="221" t="str">
        <f t="shared" si="9"/>
        <v>Traineeship</v>
      </c>
      <c r="AF23" s="221" t="str">
        <f t="shared" si="9"/>
        <v>Unemployment</v>
      </c>
      <c r="AG23" s="221" t="str">
        <f t="shared" si="9"/>
        <v>Inactivity</v>
      </c>
      <c r="AH23" s="221" t="str">
        <f t="shared" si="9"/>
        <v>Not applicable</v>
      </c>
      <c r="AI23" s="223" t="str">
        <f t="shared" ref="AI23" si="10">AI$18</f>
        <v>Unknown</v>
      </c>
      <c r="AK23" s="224" t="s">
        <v>4</v>
      </c>
      <c r="AL23" s="220"/>
      <c r="AM23" s="212" t="str">
        <f>AM$18</f>
        <v>Total</v>
      </c>
      <c r="AN23" s="221" t="str">
        <f>AN$18</f>
        <v>Employment</v>
      </c>
      <c r="AO23" s="221" t="str">
        <f t="shared" ref="AO23:AT23" si="11">AO$18</f>
        <v>Education</v>
      </c>
      <c r="AP23" s="221" t="str">
        <f t="shared" si="11"/>
        <v>Apprenticeship</v>
      </c>
      <c r="AQ23" s="221" t="str">
        <f t="shared" si="11"/>
        <v>Traineeship</v>
      </c>
      <c r="AR23" s="221" t="str">
        <f t="shared" si="11"/>
        <v>Unemployment</v>
      </c>
      <c r="AS23" s="221" t="str">
        <f t="shared" si="11"/>
        <v>Inactivity</v>
      </c>
      <c r="AT23" s="221" t="str">
        <f t="shared" si="11"/>
        <v>Not applicable</v>
      </c>
      <c r="AU23" s="223" t="str">
        <f t="shared" ref="AU23" si="12">AU$18</f>
        <v>Unknown</v>
      </c>
      <c r="AW23" s="224" t="s">
        <v>4</v>
      </c>
      <c r="AX23" s="220"/>
      <c r="AY23" s="212" t="str">
        <f>AY$18</f>
        <v>Total</v>
      </c>
      <c r="AZ23" s="221" t="str">
        <f>AZ$18</f>
        <v>Employment</v>
      </c>
      <c r="BA23" s="221" t="str">
        <f t="shared" ref="BA23:BF23" si="13">BA$18</f>
        <v>Education</v>
      </c>
      <c r="BB23" s="221" t="str">
        <f t="shared" si="13"/>
        <v>Apprenticeship</v>
      </c>
      <c r="BC23" s="221" t="str">
        <f t="shared" si="13"/>
        <v>Traineeship</v>
      </c>
      <c r="BD23" s="221" t="str">
        <f t="shared" si="13"/>
        <v>Unemployment</v>
      </c>
      <c r="BE23" s="221" t="str">
        <f t="shared" si="13"/>
        <v>Inactivity</v>
      </c>
      <c r="BF23" s="221" t="str">
        <f t="shared" si="13"/>
        <v>Not applicable</v>
      </c>
      <c r="BG23" s="223" t="str">
        <f t="shared" ref="BG23" si="14">BG$18</f>
        <v>Unknown</v>
      </c>
      <c r="BI23" s="69"/>
      <c r="BK23" s="246"/>
    </row>
    <row r="24" spans="1:63" x14ac:dyDescent="0.35">
      <c r="A24" s="2"/>
      <c r="B24" s="6" t="s">
        <v>441</v>
      </c>
      <c r="C24" s="130"/>
      <c r="D24" s="130"/>
      <c r="E24" s="130"/>
      <c r="F24" s="130"/>
      <c r="G24" s="130"/>
      <c r="H24" s="130"/>
      <c r="I24" s="130"/>
      <c r="J24" s="130"/>
      <c r="K24" s="127">
        <f t="shared" ref="K24:K27" si="15">C24-SUM(D24:G24,H24:I24,J24)</f>
        <v>0</v>
      </c>
      <c r="M24" s="2"/>
      <c r="N24" s="6" t="s">
        <v>441</v>
      </c>
      <c r="O24" s="130"/>
      <c r="P24" s="130"/>
      <c r="Q24" s="130"/>
      <c r="R24" s="130"/>
      <c r="S24" s="130"/>
      <c r="T24" s="130"/>
      <c r="U24" s="130"/>
      <c r="V24" s="130"/>
      <c r="W24" s="127">
        <f t="shared" ref="W24:W27" si="16">O24-SUM(P24:S24,T24:U24,V24)</f>
        <v>0</v>
      </c>
      <c r="Y24" s="2"/>
      <c r="Z24" s="6" t="s">
        <v>441</v>
      </c>
      <c r="AA24" s="130"/>
      <c r="AB24" s="130"/>
      <c r="AC24" s="130"/>
      <c r="AD24" s="130"/>
      <c r="AE24" s="130"/>
      <c r="AF24" s="130"/>
      <c r="AG24" s="130"/>
      <c r="AH24" s="130"/>
      <c r="AI24" s="127">
        <f t="shared" ref="AI24:AI27" si="17">AA24-SUM(AB24:AE24,AF24:AG24,AH24)</f>
        <v>0</v>
      </c>
      <c r="AK24" s="2"/>
      <c r="AL24" s="6" t="s">
        <v>441</v>
      </c>
      <c r="AM24" s="130"/>
      <c r="AN24" s="130"/>
      <c r="AO24" s="130"/>
      <c r="AP24" s="130"/>
      <c r="AQ24" s="130"/>
      <c r="AR24" s="130"/>
      <c r="AS24" s="130"/>
      <c r="AT24" s="130"/>
      <c r="AU24" s="127">
        <f t="shared" ref="AU24:AU27" si="18">AM24-SUM(AN24:AQ24,AR24:AS24,AT24)</f>
        <v>0</v>
      </c>
      <c r="AW24" s="2"/>
      <c r="AX24" s="6" t="s">
        <v>441</v>
      </c>
      <c r="AY24" s="130"/>
      <c r="AZ24" s="130"/>
      <c r="BA24" s="130"/>
      <c r="BB24" s="130"/>
      <c r="BC24" s="130"/>
      <c r="BD24" s="130"/>
      <c r="BE24" s="130"/>
      <c r="BF24" s="130"/>
      <c r="BG24" s="127">
        <f t="shared" ref="BG24:BG27" si="19">AY24-SUM(AZ24:BC24,BD24:BE24,BF24)</f>
        <v>0</v>
      </c>
      <c r="BI24" s="69" t="str">
        <f>IF(OR(K24&lt;0,W24&lt;0,AI24&lt;0,AU24&lt;0,BG24&lt;0),"!! Total must be &gt;= sum by situation",IF(OR(C24&lt;SUM(O24,AA24,AM24,AY24),D24&lt;SUM(P24,AB24,AN24,AZ24),E24&lt;SUM(Q24,AC24,AO24,BA24),F24&lt;SUM(R24,AD24,AP24,BB24),G24&lt;SUM(S24,AE24,AQ24,BC24),H24&lt;SUM(T24,AF24,AR24,BD24),I24&lt;SUM(U24,AG24,AS24,BE24),J24&lt;SUM(V24,AH24,AT24,BF24)),"!! Values in FU1 must be &gt;= sum of values in FU2 - FU5",""))</f>
        <v/>
      </c>
      <c r="BK24" s="246"/>
    </row>
    <row r="25" spans="1:63" x14ac:dyDescent="0.35">
      <c r="A25" s="2"/>
      <c r="B25" s="6" t="s">
        <v>6</v>
      </c>
      <c r="C25" s="130"/>
      <c r="D25" s="130"/>
      <c r="E25" s="130"/>
      <c r="F25" s="130"/>
      <c r="G25" s="130"/>
      <c r="H25" s="130"/>
      <c r="I25" s="130"/>
      <c r="J25" s="130"/>
      <c r="K25" s="127">
        <f t="shared" si="15"/>
        <v>0</v>
      </c>
      <c r="M25" s="2"/>
      <c r="N25" s="6" t="s">
        <v>6</v>
      </c>
      <c r="O25" s="130"/>
      <c r="P25" s="130"/>
      <c r="Q25" s="130"/>
      <c r="R25" s="130"/>
      <c r="S25" s="130"/>
      <c r="T25" s="130"/>
      <c r="U25" s="130"/>
      <c r="V25" s="130"/>
      <c r="W25" s="127">
        <f t="shared" si="16"/>
        <v>0</v>
      </c>
      <c r="Y25" s="2"/>
      <c r="Z25" s="6" t="s">
        <v>6</v>
      </c>
      <c r="AA25" s="130"/>
      <c r="AB25" s="130"/>
      <c r="AC25" s="130"/>
      <c r="AD25" s="130"/>
      <c r="AE25" s="130"/>
      <c r="AF25" s="130"/>
      <c r="AG25" s="130"/>
      <c r="AH25" s="130"/>
      <c r="AI25" s="127">
        <f t="shared" si="17"/>
        <v>0</v>
      </c>
      <c r="AK25" s="2"/>
      <c r="AL25" s="6" t="s">
        <v>6</v>
      </c>
      <c r="AM25" s="130"/>
      <c r="AN25" s="130"/>
      <c r="AO25" s="130"/>
      <c r="AP25" s="130"/>
      <c r="AQ25" s="130"/>
      <c r="AR25" s="130"/>
      <c r="AS25" s="130"/>
      <c r="AT25" s="130"/>
      <c r="AU25" s="127">
        <f t="shared" si="18"/>
        <v>0</v>
      </c>
      <c r="AW25" s="2"/>
      <c r="AX25" s="6" t="s">
        <v>6</v>
      </c>
      <c r="AY25" s="130"/>
      <c r="AZ25" s="130"/>
      <c r="BA25" s="130"/>
      <c r="BB25" s="130"/>
      <c r="BC25" s="130"/>
      <c r="BD25" s="130"/>
      <c r="BE25" s="130"/>
      <c r="BF25" s="130"/>
      <c r="BG25" s="127">
        <f t="shared" si="19"/>
        <v>0</v>
      </c>
      <c r="BI25" s="69" t="str">
        <f>IF(OR(K25&lt;0,W25&lt;0,AI25&lt;0,AU25&lt;0,BG25&lt;0),"!! Total must be &gt;= sum by situation",IF(OR(C25&lt;SUM(O25,AA25,AM25,AY25),D25&lt;SUM(P25,AB25,AN25,AZ25),E25&lt;SUM(Q25,AC25,AO25,BA25),F25&lt;SUM(R25,AD25,AP25,BB25),G25&lt;SUM(S25,AE25,AQ25,BC25),H25&lt;SUM(T25,AF25,AR25,BD25),I25&lt;SUM(U25,AG25,AS25,BE25),J25&lt;SUM(V25,AH25,AT25,BF25)),"!! Values in FU1 must be &gt;= sum of values in FU2 - FU5",""))</f>
        <v/>
      </c>
      <c r="BK25" s="246"/>
    </row>
    <row r="26" spans="1:63" x14ac:dyDescent="0.35">
      <c r="A26" s="2"/>
      <c r="B26" s="6" t="s">
        <v>7</v>
      </c>
      <c r="C26" s="130"/>
      <c r="D26" s="130"/>
      <c r="E26" s="130"/>
      <c r="F26" s="130"/>
      <c r="G26" s="130"/>
      <c r="H26" s="130"/>
      <c r="I26" s="130"/>
      <c r="J26" s="130"/>
      <c r="K26" s="127">
        <f t="shared" si="15"/>
        <v>0</v>
      </c>
      <c r="M26" s="2"/>
      <c r="N26" s="6" t="s">
        <v>7</v>
      </c>
      <c r="O26" s="130"/>
      <c r="P26" s="130"/>
      <c r="Q26" s="130"/>
      <c r="R26" s="130"/>
      <c r="S26" s="130"/>
      <c r="T26" s="130"/>
      <c r="U26" s="130"/>
      <c r="V26" s="130"/>
      <c r="W26" s="127">
        <f t="shared" si="16"/>
        <v>0</v>
      </c>
      <c r="Y26" s="2"/>
      <c r="Z26" s="6" t="s">
        <v>7</v>
      </c>
      <c r="AA26" s="130"/>
      <c r="AB26" s="130"/>
      <c r="AC26" s="130"/>
      <c r="AD26" s="130"/>
      <c r="AE26" s="130"/>
      <c r="AF26" s="130"/>
      <c r="AG26" s="130"/>
      <c r="AH26" s="130"/>
      <c r="AI26" s="127">
        <f t="shared" si="17"/>
        <v>0</v>
      </c>
      <c r="AK26" s="2"/>
      <c r="AL26" s="6" t="s">
        <v>7</v>
      </c>
      <c r="AM26" s="130"/>
      <c r="AN26" s="130"/>
      <c r="AO26" s="130"/>
      <c r="AP26" s="130"/>
      <c r="AQ26" s="130"/>
      <c r="AR26" s="130"/>
      <c r="AS26" s="130"/>
      <c r="AT26" s="130"/>
      <c r="AU26" s="127">
        <f t="shared" si="18"/>
        <v>0</v>
      </c>
      <c r="AW26" s="2"/>
      <c r="AX26" s="6" t="s">
        <v>7</v>
      </c>
      <c r="AY26" s="130"/>
      <c r="AZ26" s="130"/>
      <c r="BA26" s="130"/>
      <c r="BB26" s="130"/>
      <c r="BC26" s="130"/>
      <c r="BD26" s="130"/>
      <c r="BE26" s="130"/>
      <c r="BF26" s="130"/>
      <c r="BG26" s="127">
        <f t="shared" si="19"/>
        <v>0</v>
      </c>
      <c r="BI26" s="69" t="str">
        <f t="shared" ref="BI26:BI27" si="20">IF(OR(K26&lt;0,W26&lt;0,AI26&lt;0,AU26&lt;0,BG26&lt;0),"!! Total must be &gt;= sum by situation",IF(OR(C26&lt;SUM(O26,AA26,AM26,AY26),D26&lt;SUM(P26,AB26,AN26,AZ26),E26&lt;SUM(Q26,AC26,AO26,BA26),F26&lt;SUM(R26,AD26,AP26,BB26),G26&lt;SUM(S26,AE26,AQ26,BC26),H26&lt;SUM(T26,AF26,AR26,BD26),I26&lt;SUM(U26,AG26,AS26,BE26),J26&lt;SUM(V26,AH26,AT26,BF26)),"!! Values in FU1 must be &gt;= sum of values in FU2 - FU5",""))</f>
        <v/>
      </c>
      <c r="BK26" s="246"/>
    </row>
    <row r="27" spans="1:63" x14ac:dyDescent="0.35">
      <c r="A27" s="2"/>
      <c r="B27" s="6" t="s">
        <v>440</v>
      </c>
      <c r="C27" s="130"/>
      <c r="D27" s="130"/>
      <c r="E27" s="130"/>
      <c r="F27" s="130"/>
      <c r="G27" s="130"/>
      <c r="H27" s="130"/>
      <c r="I27" s="130"/>
      <c r="J27" s="130"/>
      <c r="K27" s="127">
        <f t="shared" si="15"/>
        <v>0</v>
      </c>
      <c r="M27" s="2"/>
      <c r="N27" s="6" t="s">
        <v>440</v>
      </c>
      <c r="O27" s="130"/>
      <c r="P27" s="130"/>
      <c r="Q27" s="130"/>
      <c r="R27" s="130"/>
      <c r="S27" s="130"/>
      <c r="T27" s="130"/>
      <c r="U27" s="130"/>
      <c r="V27" s="130"/>
      <c r="W27" s="127">
        <f t="shared" si="16"/>
        <v>0</v>
      </c>
      <c r="Y27" s="2"/>
      <c r="Z27" s="6" t="s">
        <v>440</v>
      </c>
      <c r="AA27" s="130"/>
      <c r="AB27" s="130"/>
      <c r="AC27" s="130"/>
      <c r="AD27" s="130"/>
      <c r="AE27" s="130"/>
      <c r="AF27" s="130"/>
      <c r="AG27" s="130"/>
      <c r="AH27" s="130"/>
      <c r="AI27" s="127">
        <f t="shared" si="17"/>
        <v>0</v>
      </c>
      <c r="AK27" s="2"/>
      <c r="AL27" s="6" t="s">
        <v>440</v>
      </c>
      <c r="AM27" s="130"/>
      <c r="AN27" s="130"/>
      <c r="AO27" s="130"/>
      <c r="AP27" s="130"/>
      <c r="AQ27" s="130"/>
      <c r="AR27" s="130"/>
      <c r="AS27" s="130"/>
      <c r="AT27" s="130"/>
      <c r="AU27" s="127">
        <f t="shared" si="18"/>
        <v>0</v>
      </c>
      <c r="AW27" s="2"/>
      <c r="AX27" s="6" t="s">
        <v>440</v>
      </c>
      <c r="AY27" s="130"/>
      <c r="AZ27" s="130"/>
      <c r="BA27" s="130"/>
      <c r="BB27" s="130"/>
      <c r="BC27" s="130"/>
      <c r="BD27" s="130"/>
      <c r="BE27" s="130"/>
      <c r="BF27" s="130"/>
      <c r="BG27" s="127">
        <f t="shared" si="19"/>
        <v>0</v>
      </c>
      <c r="BI27" s="69" t="str">
        <f t="shared" si="20"/>
        <v/>
      </c>
      <c r="BK27" s="246"/>
    </row>
    <row r="28" spans="1:63" x14ac:dyDescent="0.35">
      <c r="A28" s="4" t="s">
        <v>5</v>
      </c>
      <c r="B28" s="220"/>
      <c r="C28" s="212" t="str">
        <f>C$18</f>
        <v>Total</v>
      </c>
      <c r="D28" s="221" t="str">
        <f>D$18</f>
        <v>Employment</v>
      </c>
      <c r="E28" s="221" t="str">
        <f t="shared" ref="E28:J28" si="21">E$18</f>
        <v>Education</v>
      </c>
      <c r="F28" s="221" t="str">
        <f t="shared" si="21"/>
        <v>Apprenticeship</v>
      </c>
      <c r="G28" s="221" t="str">
        <f t="shared" si="21"/>
        <v>Traineeship</v>
      </c>
      <c r="H28" s="221" t="str">
        <f t="shared" si="21"/>
        <v>Unemployment</v>
      </c>
      <c r="I28" s="221" t="str">
        <f t="shared" si="21"/>
        <v>Inactivity</v>
      </c>
      <c r="J28" s="221" t="str">
        <f t="shared" si="21"/>
        <v>Not applicable</v>
      </c>
      <c r="K28" s="223" t="str">
        <f t="shared" ref="K28" si="22">K$18</f>
        <v>Unknown</v>
      </c>
      <c r="M28" s="224" t="s">
        <v>5</v>
      </c>
      <c r="N28" s="220"/>
      <c r="O28" s="212" t="str">
        <f>O$18</f>
        <v>Total</v>
      </c>
      <c r="P28" s="221" t="str">
        <f>P$18</f>
        <v>Employment</v>
      </c>
      <c r="Q28" s="221" t="str">
        <f t="shared" ref="Q28:V28" si="23">Q$18</f>
        <v>Education</v>
      </c>
      <c r="R28" s="221" t="str">
        <f t="shared" si="23"/>
        <v>Apprenticeship</v>
      </c>
      <c r="S28" s="221" t="str">
        <f t="shared" si="23"/>
        <v>Traineeship</v>
      </c>
      <c r="T28" s="221" t="str">
        <f t="shared" si="23"/>
        <v>Unemployment</v>
      </c>
      <c r="U28" s="221" t="str">
        <f t="shared" si="23"/>
        <v>Inactivity</v>
      </c>
      <c r="V28" s="221" t="str">
        <f t="shared" si="23"/>
        <v>Not applicable</v>
      </c>
      <c r="W28" s="223" t="str">
        <f t="shared" ref="W28" si="24">W$18</f>
        <v>Unknown</v>
      </c>
      <c r="Y28" s="224" t="s">
        <v>5</v>
      </c>
      <c r="Z28" s="220"/>
      <c r="AA28" s="212" t="str">
        <f>AA$18</f>
        <v>Total</v>
      </c>
      <c r="AB28" s="221" t="str">
        <f>AB$18</f>
        <v>Employment</v>
      </c>
      <c r="AC28" s="221" t="str">
        <f t="shared" ref="AC28:AH28" si="25">AC$18</f>
        <v>Education</v>
      </c>
      <c r="AD28" s="221" t="str">
        <f t="shared" si="25"/>
        <v>Apprenticeship</v>
      </c>
      <c r="AE28" s="221" t="str">
        <f t="shared" si="25"/>
        <v>Traineeship</v>
      </c>
      <c r="AF28" s="221" t="str">
        <f t="shared" si="25"/>
        <v>Unemployment</v>
      </c>
      <c r="AG28" s="221" t="str">
        <f t="shared" si="25"/>
        <v>Inactivity</v>
      </c>
      <c r="AH28" s="221" t="str">
        <f t="shared" si="25"/>
        <v>Not applicable</v>
      </c>
      <c r="AI28" s="223" t="str">
        <f t="shared" ref="AI28" si="26">AI$18</f>
        <v>Unknown</v>
      </c>
      <c r="AK28" s="224" t="s">
        <v>5</v>
      </c>
      <c r="AL28" s="220"/>
      <c r="AM28" s="212" t="str">
        <f>AM$18</f>
        <v>Total</v>
      </c>
      <c r="AN28" s="221" t="str">
        <f>AN$18</f>
        <v>Employment</v>
      </c>
      <c r="AO28" s="221" t="str">
        <f t="shared" ref="AO28:AT28" si="27">AO$18</f>
        <v>Education</v>
      </c>
      <c r="AP28" s="221" t="str">
        <f t="shared" si="27"/>
        <v>Apprenticeship</v>
      </c>
      <c r="AQ28" s="221" t="str">
        <f t="shared" si="27"/>
        <v>Traineeship</v>
      </c>
      <c r="AR28" s="221" t="str">
        <f t="shared" si="27"/>
        <v>Unemployment</v>
      </c>
      <c r="AS28" s="221" t="str">
        <f t="shared" si="27"/>
        <v>Inactivity</v>
      </c>
      <c r="AT28" s="221" t="str">
        <f t="shared" si="27"/>
        <v>Not applicable</v>
      </c>
      <c r="AU28" s="223" t="str">
        <f t="shared" ref="AU28" si="28">AU$18</f>
        <v>Unknown</v>
      </c>
      <c r="AW28" s="224" t="s">
        <v>5</v>
      </c>
      <c r="AX28" s="220"/>
      <c r="AY28" s="212" t="str">
        <f>AY$18</f>
        <v>Total</v>
      </c>
      <c r="AZ28" s="221" t="str">
        <f>AZ$18</f>
        <v>Employment</v>
      </c>
      <c r="BA28" s="221" t="str">
        <f t="shared" ref="BA28:BF28" si="29">BA$18</f>
        <v>Education</v>
      </c>
      <c r="BB28" s="221" t="str">
        <f t="shared" si="29"/>
        <v>Apprenticeship</v>
      </c>
      <c r="BC28" s="221" t="str">
        <f t="shared" si="29"/>
        <v>Traineeship</v>
      </c>
      <c r="BD28" s="221" t="str">
        <f t="shared" si="29"/>
        <v>Unemployment</v>
      </c>
      <c r="BE28" s="221" t="str">
        <f t="shared" si="29"/>
        <v>Inactivity</v>
      </c>
      <c r="BF28" s="221" t="str">
        <f t="shared" si="29"/>
        <v>Not applicable</v>
      </c>
      <c r="BG28" s="223" t="str">
        <f t="shared" ref="BG28" si="30">BG$18</f>
        <v>Unknown</v>
      </c>
      <c r="BI28" s="69"/>
      <c r="BK28" s="246"/>
    </row>
    <row r="29" spans="1:63" x14ac:dyDescent="0.35">
      <c r="A29" s="2"/>
      <c r="B29" s="6" t="s">
        <v>441</v>
      </c>
      <c r="C29" s="130"/>
      <c r="D29" s="130"/>
      <c r="E29" s="130"/>
      <c r="F29" s="130"/>
      <c r="G29" s="130"/>
      <c r="H29" s="130"/>
      <c r="I29" s="130"/>
      <c r="J29" s="130"/>
      <c r="K29" s="127">
        <f t="shared" ref="K29:K31" si="31">C29-SUM(D29:G29,H29:I29,J29)</f>
        <v>0</v>
      </c>
      <c r="M29" s="2"/>
      <c r="N29" s="6" t="s">
        <v>441</v>
      </c>
      <c r="O29" s="130"/>
      <c r="P29" s="130"/>
      <c r="Q29" s="130"/>
      <c r="R29" s="130"/>
      <c r="S29" s="130"/>
      <c r="T29" s="130"/>
      <c r="U29" s="130"/>
      <c r="V29" s="130"/>
      <c r="W29" s="127">
        <f t="shared" ref="W29:W31" si="32">O29-SUM(P29:S29,T29:U29,V29)</f>
        <v>0</v>
      </c>
      <c r="Y29" s="2"/>
      <c r="Z29" s="6" t="s">
        <v>441</v>
      </c>
      <c r="AA29" s="130"/>
      <c r="AB29" s="130"/>
      <c r="AC29" s="130"/>
      <c r="AD29" s="130"/>
      <c r="AE29" s="130"/>
      <c r="AF29" s="130"/>
      <c r="AG29" s="130"/>
      <c r="AH29" s="130"/>
      <c r="AI29" s="127">
        <f t="shared" ref="AI29:AI31" si="33">AA29-SUM(AB29:AE29,AF29:AG29,AH29)</f>
        <v>0</v>
      </c>
      <c r="AK29" s="2"/>
      <c r="AL29" s="6" t="s">
        <v>441</v>
      </c>
      <c r="AM29" s="130"/>
      <c r="AN29" s="130"/>
      <c r="AO29" s="130"/>
      <c r="AP29" s="130"/>
      <c r="AQ29" s="130"/>
      <c r="AR29" s="130"/>
      <c r="AS29" s="130"/>
      <c r="AT29" s="130"/>
      <c r="AU29" s="127">
        <f t="shared" ref="AU29:AU31" si="34">AM29-SUM(AN29:AQ29,AR29:AS29,AT29)</f>
        <v>0</v>
      </c>
      <c r="AW29" s="2"/>
      <c r="AX29" s="6" t="s">
        <v>441</v>
      </c>
      <c r="AY29" s="130"/>
      <c r="AZ29" s="130"/>
      <c r="BA29" s="130"/>
      <c r="BB29" s="130"/>
      <c r="BC29" s="130"/>
      <c r="BD29" s="130"/>
      <c r="BE29" s="130"/>
      <c r="BF29" s="130"/>
      <c r="BG29" s="127">
        <f t="shared" ref="BG29:BG31" si="35">AY29-SUM(AZ29:BC29,BD29:BE29,BF29)</f>
        <v>0</v>
      </c>
      <c r="BI29" s="69" t="str">
        <f>IF(OR(K29&lt;0,W29&lt;0,AI29&lt;0,AU29&lt;0,BG29&lt;0),"!! Total must be &gt;= sum by situation",IF(OR(C29&lt;SUM(O29,AA29,AM29,AY29),D29&lt;SUM(P29,AB29,AN29,AZ29),E29&lt;SUM(Q29,AC29,AO29,BA29),F29&lt;SUM(R29,AD29,AP29,BB29),G29&lt;SUM(S29,AE29,AQ29,BC29),H29&lt;SUM(T29,AF29,AR29,BD29),I29&lt;SUM(U29,AG29,AS29,BE29),J29&lt;SUM(V29,AH29,AT29,BF29)),"!! Values in FU1 must be &gt;= sum of values in FU2 - FU5",""))</f>
        <v/>
      </c>
      <c r="BK29" s="246"/>
    </row>
    <row r="30" spans="1:63" x14ac:dyDescent="0.35">
      <c r="A30" s="2"/>
      <c r="B30" s="6" t="s">
        <v>6</v>
      </c>
      <c r="C30" s="130"/>
      <c r="D30" s="130"/>
      <c r="E30" s="130"/>
      <c r="F30" s="130"/>
      <c r="G30" s="130"/>
      <c r="H30" s="130"/>
      <c r="I30" s="130"/>
      <c r="J30" s="130"/>
      <c r="K30" s="127">
        <f t="shared" si="31"/>
        <v>0</v>
      </c>
      <c r="M30" s="2"/>
      <c r="N30" s="6" t="s">
        <v>6</v>
      </c>
      <c r="O30" s="130"/>
      <c r="P30" s="130"/>
      <c r="Q30" s="130"/>
      <c r="R30" s="130"/>
      <c r="S30" s="130"/>
      <c r="T30" s="130"/>
      <c r="U30" s="130"/>
      <c r="V30" s="130"/>
      <c r="W30" s="127">
        <f t="shared" si="32"/>
        <v>0</v>
      </c>
      <c r="Y30" s="2"/>
      <c r="Z30" s="6" t="s">
        <v>6</v>
      </c>
      <c r="AA30" s="130"/>
      <c r="AB30" s="130"/>
      <c r="AC30" s="130"/>
      <c r="AD30" s="130"/>
      <c r="AE30" s="130"/>
      <c r="AF30" s="130"/>
      <c r="AG30" s="130"/>
      <c r="AH30" s="130"/>
      <c r="AI30" s="127">
        <f t="shared" si="33"/>
        <v>0</v>
      </c>
      <c r="AK30" s="2"/>
      <c r="AL30" s="6" t="s">
        <v>6</v>
      </c>
      <c r="AM30" s="130"/>
      <c r="AN30" s="130"/>
      <c r="AO30" s="130"/>
      <c r="AP30" s="130"/>
      <c r="AQ30" s="130"/>
      <c r="AR30" s="130"/>
      <c r="AS30" s="130"/>
      <c r="AT30" s="130"/>
      <c r="AU30" s="127">
        <f t="shared" si="34"/>
        <v>0</v>
      </c>
      <c r="AW30" s="2"/>
      <c r="AX30" s="6" t="s">
        <v>6</v>
      </c>
      <c r="AY30" s="130"/>
      <c r="AZ30" s="130"/>
      <c r="BA30" s="130"/>
      <c r="BB30" s="130"/>
      <c r="BC30" s="130"/>
      <c r="BD30" s="130"/>
      <c r="BE30" s="130"/>
      <c r="BF30" s="130"/>
      <c r="BG30" s="127">
        <f t="shared" si="35"/>
        <v>0</v>
      </c>
      <c r="BI30" s="69" t="str">
        <f>IF(OR(K30&lt;0,W30&lt;0,AI30&lt;0,AU30&lt;0,BG30&lt;0),"!! Total must be &gt;= sum by situation",IF(OR(C30&lt;SUM(O30,AA30,AM30,AY30),D30&lt;SUM(P30,AB30,AN30,AZ30),E30&lt;SUM(Q30,AC30,AO30,BA30),F30&lt;SUM(R30,AD30,AP30,BB30),G30&lt;SUM(S30,AE30,AQ30,BC30),H30&lt;SUM(T30,AF30,AR30,BD30),I30&lt;SUM(U30,AG30,AS30,BE30),J30&lt;SUM(V30,AH30,AT30,BF30)),"!! Values in FU1 must be &gt;= sum of values in FU2 - FU5",""))</f>
        <v/>
      </c>
      <c r="BK30" s="246"/>
    </row>
    <row r="31" spans="1:63" x14ac:dyDescent="0.35">
      <c r="A31" s="2"/>
      <c r="B31" s="6" t="s">
        <v>7</v>
      </c>
      <c r="C31" s="130"/>
      <c r="D31" s="130"/>
      <c r="E31" s="130"/>
      <c r="F31" s="130"/>
      <c r="G31" s="130"/>
      <c r="H31" s="130"/>
      <c r="I31" s="130"/>
      <c r="J31" s="130"/>
      <c r="K31" s="127">
        <f t="shared" si="31"/>
        <v>0</v>
      </c>
      <c r="M31" s="2"/>
      <c r="N31" s="6" t="s">
        <v>7</v>
      </c>
      <c r="O31" s="130"/>
      <c r="P31" s="130"/>
      <c r="Q31" s="130"/>
      <c r="R31" s="130"/>
      <c r="S31" s="130"/>
      <c r="T31" s="130"/>
      <c r="U31" s="130"/>
      <c r="V31" s="130"/>
      <c r="W31" s="127">
        <f t="shared" si="32"/>
        <v>0</v>
      </c>
      <c r="Y31" s="2"/>
      <c r="Z31" s="6" t="s">
        <v>7</v>
      </c>
      <c r="AA31" s="130"/>
      <c r="AB31" s="130"/>
      <c r="AC31" s="130"/>
      <c r="AD31" s="130"/>
      <c r="AE31" s="130"/>
      <c r="AF31" s="130"/>
      <c r="AG31" s="130"/>
      <c r="AH31" s="130"/>
      <c r="AI31" s="127">
        <f t="shared" si="33"/>
        <v>0</v>
      </c>
      <c r="AK31" s="2"/>
      <c r="AL31" s="6" t="s">
        <v>7</v>
      </c>
      <c r="AM31" s="130"/>
      <c r="AN31" s="130"/>
      <c r="AO31" s="130"/>
      <c r="AP31" s="130"/>
      <c r="AQ31" s="130"/>
      <c r="AR31" s="130"/>
      <c r="AS31" s="130"/>
      <c r="AT31" s="130"/>
      <c r="AU31" s="127">
        <f t="shared" si="34"/>
        <v>0</v>
      </c>
      <c r="AW31" s="2"/>
      <c r="AX31" s="6" t="s">
        <v>7</v>
      </c>
      <c r="AY31" s="130"/>
      <c r="AZ31" s="130"/>
      <c r="BA31" s="130"/>
      <c r="BB31" s="130"/>
      <c r="BC31" s="130"/>
      <c r="BD31" s="130"/>
      <c r="BE31" s="130"/>
      <c r="BF31" s="130"/>
      <c r="BG31" s="127">
        <f t="shared" si="35"/>
        <v>0</v>
      </c>
      <c r="BI31" s="69" t="str">
        <f t="shared" ref="BI31:BI32" si="36">IF(OR(K31&lt;0,W31&lt;0,AI31&lt;0,AU31&lt;0,BG31&lt;0),"!! Total must be &gt;= sum by situation",IF(OR(C31&lt;SUM(O31,AA31,AM31,AY31),D31&lt;SUM(P31,AB31,AN31,AZ31),E31&lt;SUM(Q31,AC31,AO31,BA31),F31&lt;SUM(R31,AD31,AP31,BB31),G31&lt;SUM(S31,AE31,AQ31,BC31),H31&lt;SUM(T31,AF31,AR31,BD31),I31&lt;SUM(U31,AG31,AS31,BE31),J31&lt;SUM(V31,AH31,AT31,BF31)),"!! Values in FU1 must be &gt;= sum of values in FU2 - FU5",""))</f>
        <v/>
      </c>
      <c r="BK31" s="246"/>
    </row>
    <row r="32" spans="1:63" ht="15" thickBot="1" x14ac:dyDescent="0.4">
      <c r="A32" s="2"/>
      <c r="B32" s="6" t="s">
        <v>440</v>
      </c>
      <c r="C32" s="130"/>
      <c r="D32" s="130"/>
      <c r="E32" s="130"/>
      <c r="F32" s="130"/>
      <c r="G32" s="130"/>
      <c r="H32" s="130"/>
      <c r="I32" s="130"/>
      <c r="J32" s="130"/>
      <c r="K32" s="127">
        <f>C32-SUM(D32:G32,H32:I32,J32)</f>
        <v>0</v>
      </c>
      <c r="M32" s="2"/>
      <c r="N32" s="6" t="s">
        <v>440</v>
      </c>
      <c r="O32" s="130"/>
      <c r="P32" s="130"/>
      <c r="Q32" s="130"/>
      <c r="R32" s="130"/>
      <c r="S32" s="130"/>
      <c r="T32" s="130"/>
      <c r="U32" s="130"/>
      <c r="V32" s="130"/>
      <c r="W32" s="127">
        <f>O32-SUM(P32:S32,T32:U32,V32)</f>
        <v>0</v>
      </c>
      <c r="Y32" s="2"/>
      <c r="Z32" s="6" t="s">
        <v>440</v>
      </c>
      <c r="AA32" s="130"/>
      <c r="AB32" s="130"/>
      <c r="AC32" s="130"/>
      <c r="AD32" s="130"/>
      <c r="AE32" s="130"/>
      <c r="AF32" s="130"/>
      <c r="AG32" s="130"/>
      <c r="AH32" s="130"/>
      <c r="AI32" s="127">
        <f>AA32-SUM(AB32:AE32,AF32:AG32,AH32)</f>
        <v>0</v>
      </c>
      <c r="AK32" s="2"/>
      <c r="AL32" s="6" t="s">
        <v>440</v>
      </c>
      <c r="AM32" s="130"/>
      <c r="AN32" s="130"/>
      <c r="AO32" s="130"/>
      <c r="AP32" s="130"/>
      <c r="AQ32" s="130"/>
      <c r="AR32" s="130"/>
      <c r="AS32" s="130"/>
      <c r="AT32" s="130"/>
      <c r="AU32" s="127">
        <f>AM32-SUM(AN32:AQ32,AR32:AS32,AT32)</f>
        <v>0</v>
      </c>
      <c r="AW32" s="2"/>
      <c r="AX32" s="6" t="s">
        <v>440</v>
      </c>
      <c r="AY32" s="130"/>
      <c r="AZ32" s="130"/>
      <c r="BA32" s="130"/>
      <c r="BB32" s="130"/>
      <c r="BC32" s="130"/>
      <c r="BD32" s="130"/>
      <c r="BE32" s="130"/>
      <c r="BF32" s="130"/>
      <c r="BG32" s="127">
        <f>AY32-SUM(AZ32:BC32,BD32:BE32,BF32)</f>
        <v>0</v>
      </c>
      <c r="BI32" s="69" t="str">
        <f t="shared" si="36"/>
        <v/>
      </c>
      <c r="BK32" s="246"/>
    </row>
    <row r="33" spans="1:63" ht="15" thickTop="1" x14ac:dyDescent="0.35">
      <c r="A33" s="117" t="s">
        <v>162</v>
      </c>
      <c r="B33" s="118"/>
      <c r="C33" s="214"/>
      <c r="D33" s="180"/>
      <c r="E33" s="181"/>
      <c r="F33" s="181"/>
      <c r="G33" s="181"/>
      <c r="H33" s="181"/>
      <c r="I33" s="181"/>
      <c r="J33" s="181"/>
      <c r="K33" s="119"/>
      <c r="M33" s="117" t="s">
        <v>162</v>
      </c>
      <c r="N33" s="118"/>
      <c r="O33" s="214"/>
      <c r="P33" s="180"/>
      <c r="Q33" s="181"/>
      <c r="R33" s="181"/>
      <c r="S33" s="181"/>
      <c r="T33" s="181"/>
      <c r="U33" s="181"/>
      <c r="V33" s="181"/>
      <c r="W33" s="119"/>
      <c r="Y33" s="117" t="s">
        <v>162</v>
      </c>
      <c r="Z33" s="118"/>
      <c r="AA33" s="214"/>
      <c r="AB33" s="180"/>
      <c r="AC33" s="181"/>
      <c r="AD33" s="181"/>
      <c r="AE33" s="181"/>
      <c r="AF33" s="181"/>
      <c r="AG33" s="181"/>
      <c r="AH33" s="181"/>
      <c r="AI33" s="119"/>
      <c r="AK33" s="117" t="s">
        <v>162</v>
      </c>
      <c r="AL33" s="118"/>
      <c r="AM33" s="214"/>
      <c r="AN33" s="180"/>
      <c r="AO33" s="181"/>
      <c r="AP33" s="181"/>
      <c r="AQ33" s="181"/>
      <c r="AR33" s="181"/>
      <c r="AS33" s="181"/>
      <c r="AT33" s="181"/>
      <c r="AU33" s="119"/>
      <c r="AW33" s="117" t="s">
        <v>162</v>
      </c>
      <c r="AX33" s="118"/>
      <c r="AY33" s="214"/>
      <c r="AZ33" s="180"/>
      <c r="BA33" s="181"/>
      <c r="BB33" s="181"/>
      <c r="BC33" s="181"/>
      <c r="BD33" s="181"/>
      <c r="BE33" s="181"/>
      <c r="BF33" s="181"/>
      <c r="BG33" s="119"/>
      <c r="BI33" s="69"/>
      <c r="BK33" s="246"/>
    </row>
    <row r="34" spans="1:63" ht="15" hidden="1" customHeight="1" x14ac:dyDescent="0.35">
      <c r="A34" s="14" t="str">
        <f>A33</f>
        <v>12 months after exit</v>
      </c>
      <c r="B34" s="15"/>
      <c r="C34" s="215"/>
      <c r="D34" s="182"/>
      <c r="E34" s="182"/>
      <c r="F34" s="182"/>
      <c r="G34" s="182"/>
      <c r="H34" s="182"/>
      <c r="I34" s="182"/>
      <c r="J34" s="183"/>
      <c r="K34" s="34" t="e">
        <f>#REF!</f>
        <v>#REF!</v>
      </c>
      <c r="M34" s="14" t="str">
        <f>M33</f>
        <v>12 months after exit</v>
      </c>
      <c r="N34" s="15"/>
      <c r="O34" s="215"/>
      <c r="P34" s="182"/>
      <c r="Q34" s="182"/>
      <c r="R34" s="182"/>
      <c r="S34" s="182"/>
      <c r="T34" s="182"/>
      <c r="U34" s="182"/>
      <c r="V34" s="183"/>
      <c r="W34" s="34" t="e">
        <f>#REF!</f>
        <v>#REF!</v>
      </c>
      <c r="Y34" s="14" t="str">
        <f>Y33</f>
        <v>12 months after exit</v>
      </c>
      <c r="Z34" s="15"/>
      <c r="AA34" s="215"/>
      <c r="AB34" s="182"/>
      <c r="AC34" s="182"/>
      <c r="AD34" s="182"/>
      <c r="AE34" s="182"/>
      <c r="AF34" s="182"/>
      <c r="AG34" s="182"/>
      <c r="AH34" s="183"/>
      <c r="AI34" s="34" t="e">
        <f>#REF!</f>
        <v>#REF!</v>
      </c>
      <c r="AK34" s="14" t="str">
        <f>AK33</f>
        <v>12 months after exit</v>
      </c>
      <c r="AL34" s="15"/>
      <c r="AM34" s="215"/>
      <c r="AN34" s="182"/>
      <c r="AO34" s="182"/>
      <c r="AP34" s="182"/>
      <c r="AQ34" s="182"/>
      <c r="AR34" s="182"/>
      <c r="AS34" s="182"/>
      <c r="AT34" s="183"/>
      <c r="AU34" s="34" t="e">
        <f>#REF!</f>
        <v>#REF!</v>
      </c>
      <c r="AW34" s="14" t="str">
        <f>AW33</f>
        <v>12 months after exit</v>
      </c>
      <c r="AX34" s="15"/>
      <c r="AY34" s="215"/>
      <c r="AZ34" s="182"/>
      <c r="BA34" s="182"/>
      <c r="BB34" s="182"/>
      <c r="BC34" s="182"/>
      <c r="BD34" s="182"/>
      <c r="BE34" s="182"/>
      <c r="BF34" s="183"/>
      <c r="BG34" s="34" t="e">
        <f>#REF!</f>
        <v>#REF!</v>
      </c>
      <c r="BI34" s="69"/>
      <c r="BK34" s="246"/>
    </row>
    <row r="35" spans="1:63" x14ac:dyDescent="0.35">
      <c r="A35" s="224" t="s">
        <v>106</v>
      </c>
      <c r="B35" s="220"/>
      <c r="C35" s="212" t="str">
        <f>C$18</f>
        <v>Total</v>
      </c>
      <c r="D35" s="221" t="str">
        <f>D$18</f>
        <v>Employment</v>
      </c>
      <c r="E35" s="221" t="str">
        <f t="shared" ref="E35:J35" si="37">E$18</f>
        <v>Education</v>
      </c>
      <c r="F35" s="221" t="str">
        <f t="shared" si="37"/>
        <v>Apprenticeship</v>
      </c>
      <c r="G35" s="221" t="str">
        <f t="shared" si="37"/>
        <v>Traineeship</v>
      </c>
      <c r="H35" s="221" t="str">
        <f t="shared" si="37"/>
        <v>Unemployment</v>
      </c>
      <c r="I35" s="221" t="str">
        <f t="shared" si="37"/>
        <v>Inactivity</v>
      </c>
      <c r="J35" s="221" t="str">
        <f t="shared" si="37"/>
        <v>Not applicable</v>
      </c>
      <c r="K35" s="223" t="str">
        <f t="shared" ref="K35" si="38">K$18</f>
        <v>Unknown</v>
      </c>
      <c r="M35" s="224" t="s">
        <v>106</v>
      </c>
      <c r="N35" s="220"/>
      <c r="O35" s="212" t="str">
        <f>O$18</f>
        <v>Total</v>
      </c>
      <c r="P35" s="221" t="str">
        <f>P$18</f>
        <v>Employment</v>
      </c>
      <c r="Q35" s="221" t="str">
        <f t="shared" ref="Q35:V35" si="39">Q$18</f>
        <v>Education</v>
      </c>
      <c r="R35" s="221" t="str">
        <f t="shared" si="39"/>
        <v>Apprenticeship</v>
      </c>
      <c r="S35" s="221" t="str">
        <f t="shared" si="39"/>
        <v>Traineeship</v>
      </c>
      <c r="T35" s="221" t="str">
        <f t="shared" si="39"/>
        <v>Unemployment</v>
      </c>
      <c r="U35" s="221" t="str">
        <f t="shared" si="39"/>
        <v>Inactivity</v>
      </c>
      <c r="V35" s="221" t="str">
        <f t="shared" si="39"/>
        <v>Not applicable</v>
      </c>
      <c r="W35" s="223" t="str">
        <f t="shared" ref="W35" si="40">W$18</f>
        <v>Unknown</v>
      </c>
      <c r="Y35" s="224" t="s">
        <v>106</v>
      </c>
      <c r="Z35" s="220"/>
      <c r="AA35" s="212" t="str">
        <f>AA$18</f>
        <v>Total</v>
      </c>
      <c r="AB35" s="221" t="str">
        <f>AB$18</f>
        <v>Employment</v>
      </c>
      <c r="AC35" s="221" t="str">
        <f t="shared" ref="AC35:AH35" si="41">AC$18</f>
        <v>Education</v>
      </c>
      <c r="AD35" s="221" t="str">
        <f t="shared" si="41"/>
        <v>Apprenticeship</v>
      </c>
      <c r="AE35" s="221" t="str">
        <f t="shared" si="41"/>
        <v>Traineeship</v>
      </c>
      <c r="AF35" s="221" t="str">
        <f t="shared" si="41"/>
        <v>Unemployment</v>
      </c>
      <c r="AG35" s="221" t="str">
        <f t="shared" si="41"/>
        <v>Inactivity</v>
      </c>
      <c r="AH35" s="221" t="str">
        <f t="shared" si="41"/>
        <v>Not applicable</v>
      </c>
      <c r="AI35" s="223" t="str">
        <f t="shared" ref="AI35" si="42">AI$18</f>
        <v>Unknown</v>
      </c>
      <c r="AK35" s="224" t="s">
        <v>106</v>
      </c>
      <c r="AL35" s="220"/>
      <c r="AM35" s="212" t="str">
        <f>AM$18</f>
        <v>Total</v>
      </c>
      <c r="AN35" s="221" t="str">
        <f>AN$18</f>
        <v>Employment</v>
      </c>
      <c r="AO35" s="221" t="str">
        <f t="shared" ref="AO35:AT35" si="43">AO$18</f>
        <v>Education</v>
      </c>
      <c r="AP35" s="221" t="str">
        <f t="shared" si="43"/>
        <v>Apprenticeship</v>
      </c>
      <c r="AQ35" s="221" t="str">
        <f t="shared" si="43"/>
        <v>Traineeship</v>
      </c>
      <c r="AR35" s="221" t="str">
        <f t="shared" si="43"/>
        <v>Unemployment</v>
      </c>
      <c r="AS35" s="221" t="str">
        <f t="shared" si="43"/>
        <v>Inactivity</v>
      </c>
      <c r="AT35" s="221" t="str">
        <f t="shared" si="43"/>
        <v>Not applicable</v>
      </c>
      <c r="AU35" s="223" t="str">
        <f t="shared" ref="AU35" si="44">AU$18</f>
        <v>Unknown</v>
      </c>
      <c r="AW35" s="224" t="s">
        <v>106</v>
      </c>
      <c r="AX35" s="220"/>
      <c r="AY35" s="212" t="str">
        <f>AY$18</f>
        <v>Total</v>
      </c>
      <c r="AZ35" s="221" t="str">
        <f>AZ$18</f>
        <v>Employment</v>
      </c>
      <c r="BA35" s="221" t="str">
        <f t="shared" ref="BA35:BF35" si="45">BA$18</f>
        <v>Education</v>
      </c>
      <c r="BB35" s="221" t="str">
        <f t="shared" si="45"/>
        <v>Apprenticeship</v>
      </c>
      <c r="BC35" s="221" t="str">
        <f t="shared" si="45"/>
        <v>Traineeship</v>
      </c>
      <c r="BD35" s="221" t="str">
        <f t="shared" si="45"/>
        <v>Unemployment</v>
      </c>
      <c r="BE35" s="221" t="str">
        <f t="shared" si="45"/>
        <v>Inactivity</v>
      </c>
      <c r="BF35" s="221" t="str">
        <f t="shared" si="45"/>
        <v>Not applicable</v>
      </c>
      <c r="BG35" s="223" t="str">
        <f t="shared" ref="BG35" si="46">BG$18</f>
        <v>Unknown</v>
      </c>
      <c r="BI35" s="69" t="str" cm="1">
        <f t="array" ref="BI35">IF(OR(SUM(IF(O36:W39&lt;(O41:W44+O46:W49),1,0)),SUM(IF(C36:K39&lt;(C41:K44+C46:K49),1,0)),SUM(IF(AA36:AI39&lt;(AA41:AI44+AA46:AI49),1,0)), SUM(IF(AM36:AU39&lt;(AM41:AU44+AM46:AU49),1,0)), SUM(IF(AY36:BG39&lt;(AY41:BG44+AY46:BG49),1,0))),"!! Check sum by sex for one or more columns/rows","")</f>
        <v/>
      </c>
      <c r="BK35" s="246"/>
    </row>
    <row r="36" spans="1:63" x14ac:dyDescent="0.35">
      <c r="A36" s="2"/>
      <c r="B36" s="6" t="s">
        <v>441</v>
      </c>
      <c r="C36" s="129"/>
      <c r="D36" s="130"/>
      <c r="E36" s="130"/>
      <c r="F36" s="130"/>
      <c r="G36" s="130"/>
      <c r="H36" s="130"/>
      <c r="I36" s="130"/>
      <c r="J36" s="130"/>
      <c r="K36" s="127">
        <f t="shared" ref="K36:K38" si="47">C36-SUM(D36:G36,H36:I36,J36)</f>
        <v>0</v>
      </c>
      <c r="M36" s="2"/>
      <c r="N36" s="6" t="s">
        <v>441</v>
      </c>
      <c r="O36" s="129"/>
      <c r="P36" s="130"/>
      <c r="Q36" s="130"/>
      <c r="R36" s="130"/>
      <c r="S36" s="130"/>
      <c r="T36" s="130"/>
      <c r="U36" s="130"/>
      <c r="V36" s="130"/>
      <c r="W36" s="127">
        <f t="shared" ref="W36:W38" si="48">O36-SUM(P36:S36,T36:U36,V36)</f>
        <v>0</v>
      </c>
      <c r="Y36" s="2"/>
      <c r="Z36" s="6" t="s">
        <v>441</v>
      </c>
      <c r="AA36" s="129"/>
      <c r="AB36" s="130"/>
      <c r="AC36" s="130"/>
      <c r="AD36" s="130"/>
      <c r="AE36" s="130"/>
      <c r="AF36" s="130"/>
      <c r="AG36" s="130"/>
      <c r="AH36" s="130"/>
      <c r="AI36" s="127">
        <f t="shared" ref="AI36:AI38" si="49">AA36-SUM(AB36:AE36,AF36:AG36,AH36)</f>
        <v>0</v>
      </c>
      <c r="AK36" s="2"/>
      <c r="AL36" s="6" t="s">
        <v>441</v>
      </c>
      <c r="AM36" s="129"/>
      <c r="AN36" s="130"/>
      <c r="AO36" s="130"/>
      <c r="AP36" s="130"/>
      <c r="AQ36" s="130"/>
      <c r="AR36" s="130"/>
      <c r="AS36" s="130"/>
      <c r="AT36" s="130"/>
      <c r="AU36" s="127">
        <f t="shared" ref="AU36:AU38" si="50">AM36-SUM(AN36:AQ36,AR36:AS36,AT36)</f>
        <v>0</v>
      </c>
      <c r="AW36" s="2"/>
      <c r="AX36" s="6" t="s">
        <v>441</v>
      </c>
      <c r="AY36" s="129"/>
      <c r="AZ36" s="130"/>
      <c r="BA36" s="130"/>
      <c r="BB36" s="130"/>
      <c r="BC36" s="130"/>
      <c r="BD36" s="130"/>
      <c r="BE36" s="130"/>
      <c r="BF36" s="130"/>
      <c r="BG36" s="127">
        <f t="shared" ref="BG36:BG38" si="51">AY36-SUM(AZ36:BC36,BD36:BE36,BF36)</f>
        <v>0</v>
      </c>
      <c r="BI36" s="69" t="str">
        <f>IF(OR(K36&lt;0,W36&lt;0,AI36&lt;0,AU36&lt;0,BG36&lt;0),"!! Total must be &gt;= sum by situation",IF(OR(C36&lt;SUM(O36,AA36,AM36,AY36),D36&lt;SUM(P36,AB36,AN36,AZ36),E36&lt;SUM(Q36,AC36,AO36,BA36),F36&lt;SUM(R36,AD36,AP36,BB36),G36&lt;SUM(S36,AE36,AQ36,BC36),H36&lt;SUM(T36,AF36,AR36,BD36),I36&lt;SUM(U36,AG36,AS36,BE36),J36&lt;SUM(V36,AH36,AT36,BF36)),"!! Values in FU1 must be &gt;= sum of values in FU2 - FU5",""))</f>
        <v/>
      </c>
      <c r="BK36" s="246"/>
    </row>
    <row r="37" spans="1:63" x14ac:dyDescent="0.35">
      <c r="A37" s="2"/>
      <c r="B37" s="6" t="s">
        <v>6</v>
      </c>
      <c r="C37" s="129"/>
      <c r="D37" s="130"/>
      <c r="E37" s="130"/>
      <c r="F37" s="130"/>
      <c r="G37" s="130"/>
      <c r="H37" s="130"/>
      <c r="I37" s="130"/>
      <c r="J37" s="130"/>
      <c r="K37" s="127">
        <f t="shared" si="47"/>
        <v>0</v>
      </c>
      <c r="M37" s="2"/>
      <c r="N37" s="6" t="s">
        <v>6</v>
      </c>
      <c r="O37" s="129"/>
      <c r="P37" s="130"/>
      <c r="Q37" s="130"/>
      <c r="R37" s="130"/>
      <c r="S37" s="130"/>
      <c r="T37" s="130"/>
      <c r="U37" s="130"/>
      <c r="V37" s="130"/>
      <c r="W37" s="127">
        <f t="shared" si="48"/>
        <v>0</v>
      </c>
      <c r="Y37" s="2"/>
      <c r="Z37" s="6" t="s">
        <v>6</v>
      </c>
      <c r="AA37" s="129"/>
      <c r="AB37" s="130"/>
      <c r="AC37" s="130"/>
      <c r="AD37" s="130"/>
      <c r="AE37" s="130"/>
      <c r="AF37" s="130"/>
      <c r="AG37" s="130"/>
      <c r="AH37" s="130"/>
      <c r="AI37" s="127">
        <f t="shared" si="49"/>
        <v>0</v>
      </c>
      <c r="AK37" s="2"/>
      <c r="AL37" s="6" t="s">
        <v>6</v>
      </c>
      <c r="AM37" s="129"/>
      <c r="AN37" s="130"/>
      <c r="AO37" s="130"/>
      <c r="AP37" s="130"/>
      <c r="AQ37" s="130"/>
      <c r="AR37" s="130"/>
      <c r="AS37" s="130"/>
      <c r="AT37" s="130"/>
      <c r="AU37" s="127">
        <f t="shared" si="50"/>
        <v>0</v>
      </c>
      <c r="AW37" s="2"/>
      <c r="AX37" s="6" t="s">
        <v>6</v>
      </c>
      <c r="AY37" s="129"/>
      <c r="AZ37" s="130"/>
      <c r="BA37" s="130"/>
      <c r="BB37" s="130"/>
      <c r="BC37" s="130"/>
      <c r="BD37" s="130"/>
      <c r="BE37" s="130"/>
      <c r="BF37" s="130"/>
      <c r="BG37" s="127">
        <f t="shared" si="51"/>
        <v>0</v>
      </c>
      <c r="BI37" s="69" t="str">
        <f>IF(OR(K37&lt;0,W37&lt;0,AI37&lt;0,AU37&lt;0,BG37&lt;0),"!! Total must be &gt;= sum by situation",IF(OR(C37&lt;SUM(O37,AA37,AM37,AY37),D37&lt;SUM(P37,AB37,AN37,AZ37),E37&lt;SUM(Q37,AC37,AO37,BA37),F37&lt;SUM(R37,AD37,AP37,BB37),G37&lt;SUM(S37,AE37,AQ37,BC37),H37&lt;SUM(T37,AF37,AR37,BD37),I37&lt;SUM(U37,AG37,AS37,BE37),J37&lt;SUM(V37,AH37,AT37,BF37)),"!! Values in FU1 must be &gt;= sum of values in FU2 - FU5",""))</f>
        <v/>
      </c>
      <c r="BK37" s="246"/>
    </row>
    <row r="38" spans="1:63" x14ac:dyDescent="0.35">
      <c r="A38" s="2"/>
      <c r="B38" s="6" t="s">
        <v>7</v>
      </c>
      <c r="C38" s="129"/>
      <c r="D38" s="130"/>
      <c r="E38" s="130"/>
      <c r="F38" s="130"/>
      <c r="G38" s="130"/>
      <c r="H38" s="130"/>
      <c r="I38" s="130"/>
      <c r="J38" s="130"/>
      <c r="K38" s="127">
        <f t="shared" si="47"/>
        <v>0</v>
      </c>
      <c r="M38" s="2"/>
      <c r="N38" s="6" t="s">
        <v>7</v>
      </c>
      <c r="O38" s="129"/>
      <c r="P38" s="130"/>
      <c r="Q38" s="130"/>
      <c r="R38" s="130"/>
      <c r="S38" s="130"/>
      <c r="T38" s="130"/>
      <c r="U38" s="130"/>
      <c r="V38" s="130"/>
      <c r="W38" s="127">
        <f t="shared" si="48"/>
        <v>0</v>
      </c>
      <c r="Y38" s="2"/>
      <c r="Z38" s="6" t="s">
        <v>7</v>
      </c>
      <c r="AA38" s="129"/>
      <c r="AB38" s="130"/>
      <c r="AC38" s="130"/>
      <c r="AD38" s="130"/>
      <c r="AE38" s="130"/>
      <c r="AF38" s="130"/>
      <c r="AG38" s="130"/>
      <c r="AH38" s="130"/>
      <c r="AI38" s="127">
        <f t="shared" si="49"/>
        <v>0</v>
      </c>
      <c r="AK38" s="2"/>
      <c r="AL38" s="6" t="s">
        <v>7</v>
      </c>
      <c r="AM38" s="129"/>
      <c r="AN38" s="130"/>
      <c r="AO38" s="130"/>
      <c r="AP38" s="130"/>
      <c r="AQ38" s="130"/>
      <c r="AR38" s="130"/>
      <c r="AS38" s="130"/>
      <c r="AT38" s="130"/>
      <c r="AU38" s="127">
        <f t="shared" si="50"/>
        <v>0</v>
      </c>
      <c r="AW38" s="2"/>
      <c r="AX38" s="6" t="s">
        <v>7</v>
      </c>
      <c r="AY38" s="129"/>
      <c r="AZ38" s="130"/>
      <c r="BA38" s="130"/>
      <c r="BB38" s="130"/>
      <c r="BC38" s="130"/>
      <c r="BD38" s="130"/>
      <c r="BE38" s="130"/>
      <c r="BF38" s="130"/>
      <c r="BG38" s="127">
        <f t="shared" si="51"/>
        <v>0</v>
      </c>
      <c r="BI38" s="69" t="str">
        <f t="shared" ref="BI38:BI39" si="52">IF(OR(K38&lt;0,W38&lt;0,AI38&lt;0,AU38&lt;0,BG38&lt;0),"!! Total must be &gt;= sum by situation",IF(OR(C38&lt;SUM(O38,AA38,AM38,AY38),D38&lt;SUM(P38,AB38,AN38,AZ38),E38&lt;SUM(Q38,AC38,AO38,BA38),F38&lt;SUM(R38,AD38,AP38,BB38),G38&lt;SUM(S38,AE38,AQ38,BC38),H38&lt;SUM(T38,AF38,AR38,BD38),I38&lt;SUM(U38,AG38,AS38,BE38),J38&lt;SUM(V38,AH38,AT38,BF38)),"!! Values in FU1 must be &gt;= sum of values in FU2 - FU5",""))</f>
        <v/>
      </c>
      <c r="BK38" s="246"/>
    </row>
    <row r="39" spans="1:63" x14ac:dyDescent="0.35">
      <c r="A39" s="2"/>
      <c r="B39" s="6" t="s">
        <v>440</v>
      </c>
      <c r="C39" s="129"/>
      <c r="D39" s="130"/>
      <c r="E39" s="130"/>
      <c r="F39" s="130"/>
      <c r="G39" s="130"/>
      <c r="H39" s="130"/>
      <c r="I39" s="130"/>
      <c r="J39" s="130"/>
      <c r="K39" s="127">
        <f>C39-SUM(D39:G39,H39:I39,J39)</f>
        <v>0</v>
      </c>
      <c r="M39" s="2"/>
      <c r="N39" s="6" t="s">
        <v>440</v>
      </c>
      <c r="O39" s="129"/>
      <c r="P39" s="130"/>
      <c r="Q39" s="130"/>
      <c r="R39" s="130"/>
      <c r="S39" s="130"/>
      <c r="T39" s="130"/>
      <c r="U39" s="130"/>
      <c r="V39" s="130"/>
      <c r="W39" s="127">
        <f>O39-SUM(P39:S39,T39:U39,V39)</f>
        <v>0</v>
      </c>
      <c r="Y39" s="2"/>
      <c r="Z39" s="6" t="s">
        <v>440</v>
      </c>
      <c r="AA39" s="129"/>
      <c r="AB39" s="130"/>
      <c r="AC39" s="130"/>
      <c r="AD39" s="130"/>
      <c r="AE39" s="130"/>
      <c r="AF39" s="130"/>
      <c r="AG39" s="130"/>
      <c r="AH39" s="130"/>
      <c r="AI39" s="127">
        <f>AA39-SUM(AB39:AE39,AF39:AG39,AH39)</f>
        <v>0</v>
      </c>
      <c r="AK39" s="2"/>
      <c r="AL39" s="6" t="s">
        <v>440</v>
      </c>
      <c r="AM39" s="129"/>
      <c r="AN39" s="130"/>
      <c r="AO39" s="130"/>
      <c r="AP39" s="130"/>
      <c r="AQ39" s="130"/>
      <c r="AR39" s="130"/>
      <c r="AS39" s="130"/>
      <c r="AT39" s="130"/>
      <c r="AU39" s="127">
        <f>AM39-SUM(AN39:AQ39,AR39:AS39,AT39)</f>
        <v>0</v>
      </c>
      <c r="AW39" s="2"/>
      <c r="AX39" s="6" t="s">
        <v>440</v>
      </c>
      <c r="AY39" s="129"/>
      <c r="AZ39" s="130"/>
      <c r="BA39" s="130"/>
      <c r="BB39" s="130"/>
      <c r="BC39" s="130"/>
      <c r="BD39" s="130"/>
      <c r="BE39" s="130"/>
      <c r="BF39" s="130"/>
      <c r="BG39" s="127">
        <f>AY39-SUM(AZ39:BC39,BD39:BE39,BF39)</f>
        <v>0</v>
      </c>
      <c r="BI39" s="69" t="str">
        <f t="shared" si="52"/>
        <v/>
      </c>
      <c r="BK39" s="246"/>
    </row>
    <row r="40" spans="1:63" x14ac:dyDescent="0.35">
      <c r="A40" s="4" t="s">
        <v>4</v>
      </c>
      <c r="B40" s="220"/>
      <c r="C40" s="212" t="str">
        <f>C$18</f>
        <v>Total</v>
      </c>
      <c r="D40" s="221" t="str">
        <f>D$18</f>
        <v>Employment</v>
      </c>
      <c r="E40" s="221" t="str">
        <f t="shared" ref="E40:J40" si="53">E$18</f>
        <v>Education</v>
      </c>
      <c r="F40" s="221" t="str">
        <f t="shared" si="53"/>
        <v>Apprenticeship</v>
      </c>
      <c r="G40" s="221" t="str">
        <f t="shared" si="53"/>
        <v>Traineeship</v>
      </c>
      <c r="H40" s="221" t="str">
        <f t="shared" si="53"/>
        <v>Unemployment</v>
      </c>
      <c r="I40" s="221" t="str">
        <f t="shared" si="53"/>
        <v>Inactivity</v>
      </c>
      <c r="J40" s="221" t="str">
        <f t="shared" si="53"/>
        <v>Not applicable</v>
      </c>
      <c r="K40" s="223" t="str">
        <f t="shared" ref="K40" si="54">K$18</f>
        <v>Unknown</v>
      </c>
      <c r="M40" s="224" t="s">
        <v>4</v>
      </c>
      <c r="N40" s="220"/>
      <c r="O40" s="212" t="str">
        <f>O$18</f>
        <v>Total</v>
      </c>
      <c r="P40" s="221" t="str">
        <f>P$18</f>
        <v>Employment</v>
      </c>
      <c r="Q40" s="221" t="str">
        <f t="shared" ref="Q40:V40" si="55">Q$18</f>
        <v>Education</v>
      </c>
      <c r="R40" s="221" t="str">
        <f t="shared" si="55"/>
        <v>Apprenticeship</v>
      </c>
      <c r="S40" s="221" t="str">
        <f t="shared" si="55"/>
        <v>Traineeship</v>
      </c>
      <c r="T40" s="221" t="str">
        <f t="shared" si="55"/>
        <v>Unemployment</v>
      </c>
      <c r="U40" s="221" t="str">
        <f t="shared" si="55"/>
        <v>Inactivity</v>
      </c>
      <c r="V40" s="221" t="str">
        <f t="shared" si="55"/>
        <v>Not applicable</v>
      </c>
      <c r="W40" s="223" t="str">
        <f t="shared" ref="W40" si="56">W$18</f>
        <v>Unknown</v>
      </c>
      <c r="Y40" s="224" t="s">
        <v>4</v>
      </c>
      <c r="Z40" s="220"/>
      <c r="AA40" s="212" t="str">
        <f>AA$18</f>
        <v>Total</v>
      </c>
      <c r="AB40" s="221" t="str">
        <f>AB$18</f>
        <v>Employment</v>
      </c>
      <c r="AC40" s="221" t="str">
        <f t="shared" ref="AC40:AH40" si="57">AC$18</f>
        <v>Education</v>
      </c>
      <c r="AD40" s="221" t="str">
        <f t="shared" si="57"/>
        <v>Apprenticeship</v>
      </c>
      <c r="AE40" s="221" t="str">
        <f t="shared" si="57"/>
        <v>Traineeship</v>
      </c>
      <c r="AF40" s="221" t="str">
        <f t="shared" si="57"/>
        <v>Unemployment</v>
      </c>
      <c r="AG40" s="221" t="str">
        <f t="shared" si="57"/>
        <v>Inactivity</v>
      </c>
      <c r="AH40" s="221" t="str">
        <f t="shared" si="57"/>
        <v>Not applicable</v>
      </c>
      <c r="AI40" s="223" t="str">
        <f t="shared" ref="AI40" si="58">AI$18</f>
        <v>Unknown</v>
      </c>
      <c r="AK40" s="224" t="s">
        <v>4</v>
      </c>
      <c r="AL40" s="220"/>
      <c r="AM40" s="212" t="str">
        <f>AM$18</f>
        <v>Total</v>
      </c>
      <c r="AN40" s="221" t="str">
        <f>AN$18</f>
        <v>Employment</v>
      </c>
      <c r="AO40" s="221" t="str">
        <f t="shared" ref="AO40:AT40" si="59">AO$18</f>
        <v>Education</v>
      </c>
      <c r="AP40" s="221" t="str">
        <f t="shared" si="59"/>
        <v>Apprenticeship</v>
      </c>
      <c r="AQ40" s="221" t="str">
        <f t="shared" si="59"/>
        <v>Traineeship</v>
      </c>
      <c r="AR40" s="221" t="str">
        <f t="shared" si="59"/>
        <v>Unemployment</v>
      </c>
      <c r="AS40" s="221" t="str">
        <f t="shared" si="59"/>
        <v>Inactivity</v>
      </c>
      <c r="AT40" s="221" t="str">
        <f t="shared" si="59"/>
        <v>Not applicable</v>
      </c>
      <c r="AU40" s="223" t="str">
        <f t="shared" ref="AU40" si="60">AU$18</f>
        <v>Unknown</v>
      </c>
      <c r="AW40" s="224" t="s">
        <v>4</v>
      </c>
      <c r="AX40" s="220"/>
      <c r="AY40" s="212" t="str">
        <f>AY$18</f>
        <v>Total</v>
      </c>
      <c r="AZ40" s="221" t="str">
        <f>AZ$18</f>
        <v>Employment</v>
      </c>
      <c r="BA40" s="221" t="str">
        <f t="shared" ref="BA40:BF40" si="61">BA$18</f>
        <v>Education</v>
      </c>
      <c r="BB40" s="221" t="str">
        <f t="shared" si="61"/>
        <v>Apprenticeship</v>
      </c>
      <c r="BC40" s="221" t="str">
        <f t="shared" si="61"/>
        <v>Traineeship</v>
      </c>
      <c r="BD40" s="221" t="str">
        <f t="shared" si="61"/>
        <v>Unemployment</v>
      </c>
      <c r="BE40" s="221" t="str">
        <f t="shared" si="61"/>
        <v>Inactivity</v>
      </c>
      <c r="BF40" s="221" t="str">
        <f t="shared" si="61"/>
        <v>Not applicable</v>
      </c>
      <c r="BG40" s="223" t="str">
        <f t="shared" ref="BG40" si="62">BG$18</f>
        <v>Unknown</v>
      </c>
      <c r="BI40" s="69"/>
      <c r="BK40" s="246"/>
    </row>
    <row r="41" spans="1:63" x14ac:dyDescent="0.35">
      <c r="A41" s="2"/>
      <c r="B41" s="6" t="s">
        <v>441</v>
      </c>
      <c r="C41" s="129"/>
      <c r="D41" s="130"/>
      <c r="E41" s="131"/>
      <c r="F41" s="131"/>
      <c r="G41" s="131"/>
      <c r="H41" s="131"/>
      <c r="I41" s="131"/>
      <c r="J41" s="131"/>
      <c r="K41" s="127">
        <f t="shared" ref="K41:K44" si="63">C41-SUM(D41:G41,H41:I41,J41)</f>
        <v>0</v>
      </c>
      <c r="M41" s="2"/>
      <c r="N41" s="6" t="s">
        <v>441</v>
      </c>
      <c r="O41" s="129"/>
      <c r="P41" s="130"/>
      <c r="Q41" s="131"/>
      <c r="R41" s="131"/>
      <c r="S41" s="131"/>
      <c r="T41" s="131"/>
      <c r="U41" s="131"/>
      <c r="V41" s="131"/>
      <c r="W41" s="127">
        <f t="shared" ref="W41:W44" si="64">O41-SUM(P41:S41,T41:U41,V41)</f>
        <v>0</v>
      </c>
      <c r="Y41" s="2"/>
      <c r="Z41" s="6" t="s">
        <v>441</v>
      </c>
      <c r="AA41" s="129"/>
      <c r="AB41" s="130"/>
      <c r="AC41" s="131"/>
      <c r="AD41" s="131"/>
      <c r="AE41" s="131"/>
      <c r="AF41" s="131"/>
      <c r="AG41" s="131"/>
      <c r="AH41" s="131"/>
      <c r="AI41" s="127">
        <f t="shared" ref="AI41:AI44" si="65">AA41-SUM(AB41:AE41,AF41:AG41,AH41)</f>
        <v>0</v>
      </c>
      <c r="AK41" s="2"/>
      <c r="AL41" s="6" t="s">
        <v>441</v>
      </c>
      <c r="AM41" s="129"/>
      <c r="AN41" s="130"/>
      <c r="AO41" s="131"/>
      <c r="AP41" s="131"/>
      <c r="AQ41" s="131"/>
      <c r="AR41" s="131"/>
      <c r="AS41" s="131"/>
      <c r="AT41" s="131"/>
      <c r="AU41" s="127">
        <f t="shared" ref="AU41:AU44" si="66">AM41-SUM(AN41:AQ41,AR41:AS41,AT41)</f>
        <v>0</v>
      </c>
      <c r="AW41" s="2"/>
      <c r="AX41" s="6" t="s">
        <v>441</v>
      </c>
      <c r="AY41" s="129"/>
      <c r="AZ41" s="130"/>
      <c r="BA41" s="131"/>
      <c r="BB41" s="131"/>
      <c r="BC41" s="131"/>
      <c r="BD41" s="131"/>
      <c r="BE41" s="131"/>
      <c r="BF41" s="131"/>
      <c r="BG41" s="127">
        <f t="shared" ref="BG41:BG44" si="67">AY41-SUM(AZ41:BC41,BD41:BE41,BF41)</f>
        <v>0</v>
      </c>
      <c r="BI41" s="69" t="str">
        <f>IF(OR(K41&lt;0,W41&lt;0,AI41&lt;0,AU41&lt;0,BG41&lt;0),"!! Total must be &gt;= sum by situation",IF(OR(C41&lt;SUM(O41,AA41,AM41,AY41),D41&lt;SUM(P41,AB41,AN41,AZ41),E41&lt;SUM(Q41,AC41,AO41,BA41),F41&lt;SUM(R41,AD41,AP41,BB41),G41&lt;SUM(S41,AE41,AQ41,BC41),H41&lt;SUM(T41,AF41,AR41,BD41),I41&lt;SUM(U41,AG41,AS41,BE41),J41&lt;SUM(V41,AH41,AT41,BF41)),"!! Values in FU1 must be &gt;= sum of values in FU2 - FU5",""))</f>
        <v/>
      </c>
      <c r="BK41" s="246"/>
    </row>
    <row r="42" spans="1:63" x14ac:dyDescent="0.35">
      <c r="A42" s="2"/>
      <c r="B42" s="6" t="s">
        <v>6</v>
      </c>
      <c r="C42" s="129"/>
      <c r="D42" s="130"/>
      <c r="E42" s="131"/>
      <c r="F42" s="131"/>
      <c r="G42" s="131"/>
      <c r="H42" s="131"/>
      <c r="I42" s="131"/>
      <c r="J42" s="131"/>
      <c r="K42" s="127">
        <f t="shared" si="63"/>
        <v>0</v>
      </c>
      <c r="M42" s="2"/>
      <c r="N42" s="6" t="s">
        <v>6</v>
      </c>
      <c r="O42" s="129"/>
      <c r="P42" s="130"/>
      <c r="Q42" s="131"/>
      <c r="R42" s="131"/>
      <c r="S42" s="131"/>
      <c r="T42" s="131"/>
      <c r="U42" s="131"/>
      <c r="V42" s="131"/>
      <c r="W42" s="127">
        <f t="shared" si="64"/>
        <v>0</v>
      </c>
      <c r="Y42" s="2"/>
      <c r="Z42" s="6" t="s">
        <v>6</v>
      </c>
      <c r="AA42" s="129"/>
      <c r="AB42" s="130"/>
      <c r="AC42" s="131"/>
      <c r="AD42" s="131"/>
      <c r="AE42" s="131"/>
      <c r="AF42" s="131"/>
      <c r="AG42" s="131"/>
      <c r="AH42" s="131"/>
      <c r="AI42" s="127">
        <f t="shared" si="65"/>
        <v>0</v>
      </c>
      <c r="AK42" s="2"/>
      <c r="AL42" s="6" t="s">
        <v>6</v>
      </c>
      <c r="AM42" s="129"/>
      <c r="AN42" s="130"/>
      <c r="AO42" s="131"/>
      <c r="AP42" s="131"/>
      <c r="AQ42" s="131"/>
      <c r="AR42" s="131"/>
      <c r="AS42" s="131"/>
      <c r="AT42" s="131"/>
      <c r="AU42" s="127">
        <f t="shared" si="66"/>
        <v>0</v>
      </c>
      <c r="AW42" s="2"/>
      <c r="AX42" s="6" t="s">
        <v>6</v>
      </c>
      <c r="AY42" s="129"/>
      <c r="AZ42" s="130"/>
      <c r="BA42" s="131"/>
      <c r="BB42" s="131"/>
      <c r="BC42" s="131"/>
      <c r="BD42" s="131"/>
      <c r="BE42" s="131"/>
      <c r="BF42" s="131"/>
      <c r="BG42" s="127">
        <f t="shared" si="67"/>
        <v>0</v>
      </c>
      <c r="BI42" s="69" t="str">
        <f>IF(OR(K42&lt;0,W42&lt;0,AI42&lt;0,AU42&lt;0,BG42&lt;0),"!! Total must be &gt;= sum by situation",IF(OR(C42&lt;SUM(O42,AA42,AM42,AY42),D42&lt;SUM(P42,AB42,AN42,AZ42),E42&lt;SUM(Q42,AC42,AO42,BA42),F42&lt;SUM(R42,AD42,AP42,BB42),G42&lt;SUM(S42,AE42,AQ42,BC42),H42&lt;SUM(T42,AF42,AR42,BD42),I42&lt;SUM(U42,AG42,AS42,BE42),J42&lt;SUM(V42,AH42,AT42,BF42)),"!! Values in FU1 must be &gt;= sum of values in FU2 - FU5",""))</f>
        <v/>
      </c>
      <c r="BK42" s="246"/>
    </row>
    <row r="43" spans="1:63" x14ac:dyDescent="0.35">
      <c r="A43" s="2"/>
      <c r="B43" s="6" t="s">
        <v>7</v>
      </c>
      <c r="C43" s="129"/>
      <c r="D43" s="130"/>
      <c r="E43" s="130"/>
      <c r="F43" s="130"/>
      <c r="G43" s="130"/>
      <c r="H43" s="130"/>
      <c r="I43" s="130"/>
      <c r="J43" s="130"/>
      <c r="K43" s="127">
        <f t="shared" si="63"/>
        <v>0</v>
      </c>
      <c r="M43" s="2"/>
      <c r="N43" s="6" t="s">
        <v>7</v>
      </c>
      <c r="O43" s="129"/>
      <c r="P43" s="130"/>
      <c r="Q43" s="130"/>
      <c r="R43" s="130"/>
      <c r="S43" s="130"/>
      <c r="T43" s="130"/>
      <c r="U43" s="130"/>
      <c r="V43" s="130"/>
      <c r="W43" s="127">
        <f t="shared" si="64"/>
        <v>0</v>
      </c>
      <c r="Y43" s="2"/>
      <c r="Z43" s="6" t="s">
        <v>7</v>
      </c>
      <c r="AA43" s="129"/>
      <c r="AB43" s="130"/>
      <c r="AC43" s="130"/>
      <c r="AD43" s="130"/>
      <c r="AE43" s="130"/>
      <c r="AF43" s="130"/>
      <c r="AG43" s="130"/>
      <c r="AH43" s="130"/>
      <c r="AI43" s="127">
        <f t="shared" si="65"/>
        <v>0</v>
      </c>
      <c r="AK43" s="2"/>
      <c r="AL43" s="6" t="s">
        <v>7</v>
      </c>
      <c r="AM43" s="129"/>
      <c r="AN43" s="130"/>
      <c r="AO43" s="130"/>
      <c r="AP43" s="130"/>
      <c r="AQ43" s="130"/>
      <c r="AR43" s="130"/>
      <c r="AS43" s="130"/>
      <c r="AT43" s="130"/>
      <c r="AU43" s="127">
        <f t="shared" si="66"/>
        <v>0</v>
      </c>
      <c r="AW43" s="2"/>
      <c r="AX43" s="6" t="s">
        <v>7</v>
      </c>
      <c r="AY43" s="129"/>
      <c r="AZ43" s="130"/>
      <c r="BA43" s="130"/>
      <c r="BB43" s="130"/>
      <c r="BC43" s="130"/>
      <c r="BD43" s="130"/>
      <c r="BE43" s="130"/>
      <c r="BF43" s="130"/>
      <c r="BG43" s="127">
        <f t="shared" si="67"/>
        <v>0</v>
      </c>
      <c r="BI43" s="69" t="str">
        <f t="shared" ref="BI43:BI44" si="68">IF(OR(K43&lt;0,W43&lt;0,AI43&lt;0,AU43&lt;0,BG43&lt;0),"!! Total must be &gt;= sum by situation",IF(OR(C43&lt;SUM(O43,AA43,AM43,AY43),D43&lt;SUM(P43,AB43,AN43,AZ43),E43&lt;SUM(Q43,AC43,AO43,BA43),F43&lt;SUM(R43,AD43,AP43,BB43),G43&lt;SUM(S43,AE43,AQ43,BC43),H43&lt;SUM(T43,AF43,AR43,BD43),I43&lt;SUM(U43,AG43,AS43,BE43),J43&lt;SUM(V43,AH43,AT43,BF43)),"!! Values in FU1 must be &gt;= sum of values in FU2 - FU5",""))</f>
        <v/>
      </c>
      <c r="BK43" s="246"/>
    </row>
    <row r="44" spans="1:63" x14ac:dyDescent="0.35">
      <c r="A44" s="2"/>
      <c r="B44" s="6" t="s">
        <v>440</v>
      </c>
      <c r="C44" s="129"/>
      <c r="D44" s="130"/>
      <c r="E44" s="131"/>
      <c r="F44" s="131"/>
      <c r="G44" s="131"/>
      <c r="H44" s="131"/>
      <c r="I44" s="131"/>
      <c r="J44" s="131"/>
      <c r="K44" s="127">
        <f t="shared" si="63"/>
        <v>0</v>
      </c>
      <c r="M44" s="2"/>
      <c r="N44" s="6" t="s">
        <v>440</v>
      </c>
      <c r="O44" s="129"/>
      <c r="P44" s="130"/>
      <c r="Q44" s="131"/>
      <c r="R44" s="131"/>
      <c r="S44" s="131"/>
      <c r="T44" s="131"/>
      <c r="U44" s="131"/>
      <c r="V44" s="131"/>
      <c r="W44" s="127">
        <f t="shared" si="64"/>
        <v>0</v>
      </c>
      <c r="Y44" s="2"/>
      <c r="Z44" s="6" t="s">
        <v>440</v>
      </c>
      <c r="AA44" s="129"/>
      <c r="AB44" s="130"/>
      <c r="AC44" s="131"/>
      <c r="AD44" s="131"/>
      <c r="AE44" s="131"/>
      <c r="AF44" s="131"/>
      <c r="AG44" s="131"/>
      <c r="AH44" s="131"/>
      <c r="AI44" s="127">
        <f t="shared" si="65"/>
        <v>0</v>
      </c>
      <c r="AK44" s="2"/>
      <c r="AL44" s="6" t="s">
        <v>440</v>
      </c>
      <c r="AM44" s="129"/>
      <c r="AN44" s="130"/>
      <c r="AO44" s="131"/>
      <c r="AP44" s="131"/>
      <c r="AQ44" s="131"/>
      <c r="AR44" s="131"/>
      <c r="AS44" s="131"/>
      <c r="AT44" s="131"/>
      <c r="AU44" s="127">
        <f t="shared" si="66"/>
        <v>0</v>
      </c>
      <c r="AW44" s="2"/>
      <c r="AX44" s="6" t="s">
        <v>440</v>
      </c>
      <c r="AY44" s="129"/>
      <c r="AZ44" s="130"/>
      <c r="BA44" s="131"/>
      <c r="BB44" s="131"/>
      <c r="BC44" s="131"/>
      <c r="BD44" s="131"/>
      <c r="BE44" s="131"/>
      <c r="BF44" s="131"/>
      <c r="BG44" s="127">
        <f t="shared" si="67"/>
        <v>0</v>
      </c>
      <c r="BI44" s="69" t="str">
        <f t="shared" si="68"/>
        <v/>
      </c>
      <c r="BK44" s="246"/>
    </row>
    <row r="45" spans="1:63" x14ac:dyDescent="0.35">
      <c r="A45" s="224" t="s">
        <v>5</v>
      </c>
      <c r="B45" s="220"/>
      <c r="C45" s="212" t="str">
        <f>C$18</f>
        <v>Total</v>
      </c>
      <c r="D45" s="221" t="str">
        <f>D$18</f>
        <v>Employment</v>
      </c>
      <c r="E45" s="221" t="str">
        <f t="shared" ref="E45:J45" si="69">E$18</f>
        <v>Education</v>
      </c>
      <c r="F45" s="221" t="str">
        <f t="shared" si="69"/>
        <v>Apprenticeship</v>
      </c>
      <c r="G45" s="221" t="str">
        <f t="shared" si="69"/>
        <v>Traineeship</v>
      </c>
      <c r="H45" s="221" t="str">
        <f t="shared" si="69"/>
        <v>Unemployment</v>
      </c>
      <c r="I45" s="221" t="str">
        <f t="shared" si="69"/>
        <v>Inactivity</v>
      </c>
      <c r="J45" s="221" t="str">
        <f t="shared" si="69"/>
        <v>Not applicable</v>
      </c>
      <c r="K45" s="223" t="str">
        <f t="shared" ref="K45" si="70">K$18</f>
        <v>Unknown</v>
      </c>
      <c r="M45" s="224" t="s">
        <v>5</v>
      </c>
      <c r="N45" s="220"/>
      <c r="O45" s="212" t="str">
        <f>O$18</f>
        <v>Total</v>
      </c>
      <c r="P45" s="221" t="str">
        <f>P$18</f>
        <v>Employment</v>
      </c>
      <c r="Q45" s="221" t="str">
        <f t="shared" ref="Q45:V45" si="71">Q$18</f>
        <v>Education</v>
      </c>
      <c r="R45" s="221" t="str">
        <f t="shared" si="71"/>
        <v>Apprenticeship</v>
      </c>
      <c r="S45" s="221" t="str">
        <f t="shared" si="71"/>
        <v>Traineeship</v>
      </c>
      <c r="T45" s="221" t="str">
        <f t="shared" si="71"/>
        <v>Unemployment</v>
      </c>
      <c r="U45" s="221" t="str">
        <f t="shared" si="71"/>
        <v>Inactivity</v>
      </c>
      <c r="V45" s="221" t="str">
        <f t="shared" si="71"/>
        <v>Not applicable</v>
      </c>
      <c r="W45" s="223" t="str">
        <f t="shared" ref="W45" si="72">W$18</f>
        <v>Unknown</v>
      </c>
      <c r="Y45" s="224" t="s">
        <v>5</v>
      </c>
      <c r="Z45" s="220"/>
      <c r="AA45" s="212" t="str">
        <f>AA$18</f>
        <v>Total</v>
      </c>
      <c r="AB45" s="221" t="str">
        <f>AB$18</f>
        <v>Employment</v>
      </c>
      <c r="AC45" s="221" t="str">
        <f t="shared" ref="AC45:AH45" si="73">AC$18</f>
        <v>Education</v>
      </c>
      <c r="AD45" s="221" t="str">
        <f t="shared" si="73"/>
        <v>Apprenticeship</v>
      </c>
      <c r="AE45" s="221" t="str">
        <f t="shared" si="73"/>
        <v>Traineeship</v>
      </c>
      <c r="AF45" s="221" t="str">
        <f t="shared" si="73"/>
        <v>Unemployment</v>
      </c>
      <c r="AG45" s="221" t="str">
        <f t="shared" si="73"/>
        <v>Inactivity</v>
      </c>
      <c r="AH45" s="221" t="str">
        <f t="shared" si="73"/>
        <v>Not applicable</v>
      </c>
      <c r="AI45" s="223" t="str">
        <f t="shared" ref="AI45" si="74">AI$18</f>
        <v>Unknown</v>
      </c>
      <c r="AK45" s="224" t="s">
        <v>5</v>
      </c>
      <c r="AL45" s="220"/>
      <c r="AM45" s="212" t="str">
        <f>AM$18</f>
        <v>Total</v>
      </c>
      <c r="AN45" s="221" t="str">
        <f>AN$18</f>
        <v>Employment</v>
      </c>
      <c r="AO45" s="221" t="str">
        <f t="shared" ref="AO45:AT45" si="75">AO$18</f>
        <v>Education</v>
      </c>
      <c r="AP45" s="221" t="str">
        <f t="shared" si="75"/>
        <v>Apprenticeship</v>
      </c>
      <c r="AQ45" s="221" t="str">
        <f t="shared" si="75"/>
        <v>Traineeship</v>
      </c>
      <c r="AR45" s="221" t="str">
        <f t="shared" si="75"/>
        <v>Unemployment</v>
      </c>
      <c r="AS45" s="221" t="str">
        <f t="shared" si="75"/>
        <v>Inactivity</v>
      </c>
      <c r="AT45" s="221" t="str">
        <f t="shared" si="75"/>
        <v>Not applicable</v>
      </c>
      <c r="AU45" s="223" t="str">
        <f t="shared" ref="AU45" si="76">AU$18</f>
        <v>Unknown</v>
      </c>
      <c r="AW45" s="224" t="s">
        <v>5</v>
      </c>
      <c r="AX45" s="220"/>
      <c r="AY45" s="212" t="str">
        <f>AY$18</f>
        <v>Total</v>
      </c>
      <c r="AZ45" s="221" t="str">
        <f>AZ$18</f>
        <v>Employment</v>
      </c>
      <c r="BA45" s="221" t="str">
        <f t="shared" ref="BA45:BF45" si="77">BA$18</f>
        <v>Education</v>
      </c>
      <c r="BB45" s="221" t="str">
        <f t="shared" si="77"/>
        <v>Apprenticeship</v>
      </c>
      <c r="BC45" s="221" t="str">
        <f t="shared" si="77"/>
        <v>Traineeship</v>
      </c>
      <c r="BD45" s="221" t="str">
        <f t="shared" si="77"/>
        <v>Unemployment</v>
      </c>
      <c r="BE45" s="221" t="str">
        <f t="shared" si="77"/>
        <v>Inactivity</v>
      </c>
      <c r="BF45" s="221" t="str">
        <f t="shared" si="77"/>
        <v>Not applicable</v>
      </c>
      <c r="BG45" s="223" t="str">
        <f t="shared" ref="BG45" si="78">BG$18</f>
        <v>Unknown</v>
      </c>
      <c r="BI45" s="69"/>
      <c r="BK45" s="246"/>
    </row>
    <row r="46" spans="1:63" x14ac:dyDescent="0.35">
      <c r="A46" s="2"/>
      <c r="B46" s="6" t="s">
        <v>441</v>
      </c>
      <c r="C46" s="129"/>
      <c r="D46" s="130"/>
      <c r="E46" s="131"/>
      <c r="F46" s="131"/>
      <c r="G46" s="131"/>
      <c r="H46" s="131"/>
      <c r="I46" s="131"/>
      <c r="J46" s="131"/>
      <c r="K46" s="127">
        <f t="shared" ref="K46:K49" si="79">C46-SUM(D46:G46,H46:I46,J46)</f>
        <v>0</v>
      </c>
      <c r="M46" s="2"/>
      <c r="N46" s="6" t="s">
        <v>441</v>
      </c>
      <c r="O46" s="129"/>
      <c r="P46" s="130"/>
      <c r="Q46" s="131"/>
      <c r="R46" s="131"/>
      <c r="S46" s="131"/>
      <c r="T46" s="131"/>
      <c r="U46" s="131"/>
      <c r="V46" s="131"/>
      <c r="W46" s="127">
        <f t="shared" ref="W46:W49" si="80">O46-SUM(P46:S46,T46:U46,V46)</f>
        <v>0</v>
      </c>
      <c r="Y46" s="2"/>
      <c r="Z46" s="6" t="s">
        <v>441</v>
      </c>
      <c r="AA46" s="129"/>
      <c r="AB46" s="130"/>
      <c r="AC46" s="131"/>
      <c r="AD46" s="131"/>
      <c r="AE46" s="131"/>
      <c r="AF46" s="131"/>
      <c r="AG46" s="131"/>
      <c r="AH46" s="131"/>
      <c r="AI46" s="127">
        <f t="shared" ref="AI46:AI49" si="81">AA46-SUM(AB46:AE46,AF46:AG46,AH46)</f>
        <v>0</v>
      </c>
      <c r="AK46" s="2"/>
      <c r="AL46" s="6" t="s">
        <v>441</v>
      </c>
      <c r="AM46" s="129"/>
      <c r="AN46" s="130"/>
      <c r="AO46" s="131"/>
      <c r="AP46" s="131"/>
      <c r="AQ46" s="131"/>
      <c r="AR46" s="131"/>
      <c r="AS46" s="131"/>
      <c r="AT46" s="131"/>
      <c r="AU46" s="127">
        <f t="shared" ref="AU46:AU49" si="82">AM46-SUM(AN46:AQ46,AR46:AS46,AT46)</f>
        <v>0</v>
      </c>
      <c r="AW46" s="2"/>
      <c r="AX46" s="6" t="s">
        <v>441</v>
      </c>
      <c r="AY46" s="129"/>
      <c r="AZ46" s="130"/>
      <c r="BA46" s="131"/>
      <c r="BB46" s="131"/>
      <c r="BC46" s="131"/>
      <c r="BD46" s="131"/>
      <c r="BE46" s="131"/>
      <c r="BF46" s="131"/>
      <c r="BG46" s="127">
        <f t="shared" ref="BG46:BG49" si="83">AY46-SUM(AZ46:BC46,BD46:BE46,BF46)</f>
        <v>0</v>
      </c>
      <c r="BI46" s="69" t="str">
        <f>IF(OR(K46&lt;0,W46&lt;0,AI46&lt;0,AU46&lt;0,BG46&lt;0),"!! Total must be &gt;= sum by situation",IF(OR(C46&lt;SUM(O46,AA46,AM46,AY46),D46&lt;SUM(P46,AB46,AN46,AZ46),E46&lt;SUM(Q46,AC46,AO46,BA46),F46&lt;SUM(R46,AD46,AP46,BB46),G46&lt;SUM(S46,AE46,AQ46,BC46),H46&lt;SUM(T46,AF46,AR46,BD46),I46&lt;SUM(U46,AG46,AS46,BE46),J46&lt;SUM(V46,AH46,AT46,BF46)),"!! Values in FU1 must be &gt;= sum of values in FU2 - FU5",""))</f>
        <v/>
      </c>
      <c r="BK46" s="246"/>
    </row>
    <row r="47" spans="1:63" x14ac:dyDescent="0.35">
      <c r="A47" s="2"/>
      <c r="B47" s="6" t="s">
        <v>6</v>
      </c>
      <c r="C47" s="129"/>
      <c r="D47" s="130"/>
      <c r="E47" s="131"/>
      <c r="F47" s="131"/>
      <c r="G47" s="131"/>
      <c r="H47" s="131"/>
      <c r="I47" s="131"/>
      <c r="J47" s="131"/>
      <c r="K47" s="127">
        <f t="shared" si="79"/>
        <v>0</v>
      </c>
      <c r="M47" s="2"/>
      <c r="N47" s="6" t="s">
        <v>6</v>
      </c>
      <c r="O47" s="129"/>
      <c r="P47" s="130"/>
      <c r="Q47" s="131"/>
      <c r="R47" s="131"/>
      <c r="S47" s="131"/>
      <c r="T47" s="131"/>
      <c r="U47" s="131"/>
      <c r="V47" s="131"/>
      <c r="W47" s="127">
        <f t="shared" si="80"/>
        <v>0</v>
      </c>
      <c r="Y47" s="2"/>
      <c r="Z47" s="6" t="s">
        <v>6</v>
      </c>
      <c r="AA47" s="129"/>
      <c r="AB47" s="130"/>
      <c r="AC47" s="131"/>
      <c r="AD47" s="131"/>
      <c r="AE47" s="131"/>
      <c r="AF47" s="131"/>
      <c r="AG47" s="131"/>
      <c r="AH47" s="131"/>
      <c r="AI47" s="127">
        <f t="shared" si="81"/>
        <v>0</v>
      </c>
      <c r="AK47" s="2"/>
      <c r="AL47" s="6" t="s">
        <v>6</v>
      </c>
      <c r="AM47" s="129"/>
      <c r="AN47" s="130"/>
      <c r="AO47" s="131"/>
      <c r="AP47" s="131"/>
      <c r="AQ47" s="131"/>
      <c r="AR47" s="131"/>
      <c r="AS47" s="131"/>
      <c r="AT47" s="131"/>
      <c r="AU47" s="127">
        <f t="shared" si="82"/>
        <v>0</v>
      </c>
      <c r="AW47" s="2"/>
      <c r="AX47" s="6" t="s">
        <v>6</v>
      </c>
      <c r="AY47" s="129"/>
      <c r="AZ47" s="130"/>
      <c r="BA47" s="131"/>
      <c r="BB47" s="131"/>
      <c r="BC47" s="131"/>
      <c r="BD47" s="131"/>
      <c r="BE47" s="131"/>
      <c r="BF47" s="131"/>
      <c r="BG47" s="127">
        <f t="shared" si="83"/>
        <v>0</v>
      </c>
      <c r="BI47" s="69" t="str">
        <f>IF(OR(K47&lt;0,W47&lt;0,AI47&lt;0,AU47&lt;0,BG47&lt;0),"!! Total must be &gt;= sum by situation",IF(OR(C47&lt;SUM(O47,AA47,AM47,AY47),D47&lt;SUM(P47,AB47,AN47,AZ47),E47&lt;SUM(Q47,AC47,AO47,BA47),F47&lt;SUM(R47,AD47,AP47,BB47),G47&lt;SUM(S47,AE47,AQ47,BC47),H47&lt;SUM(T47,AF47,AR47,BD47),I47&lt;SUM(U47,AG47,AS47,BE47),J47&lt;SUM(V47,AH47,AT47,BF47)),"!! Values in FU1 must be &gt;= sum of values in FU2 - FU5",""))</f>
        <v/>
      </c>
      <c r="BK47" s="246"/>
    </row>
    <row r="48" spans="1:63" x14ac:dyDescent="0.35">
      <c r="A48" s="2"/>
      <c r="B48" s="6" t="s">
        <v>7</v>
      </c>
      <c r="C48" s="129"/>
      <c r="D48" s="130"/>
      <c r="E48" s="130"/>
      <c r="F48" s="130"/>
      <c r="G48" s="130"/>
      <c r="H48" s="130"/>
      <c r="I48" s="130"/>
      <c r="J48" s="130"/>
      <c r="K48" s="127">
        <f t="shared" si="79"/>
        <v>0</v>
      </c>
      <c r="M48" s="2"/>
      <c r="N48" s="6" t="s">
        <v>7</v>
      </c>
      <c r="O48" s="129"/>
      <c r="P48" s="130"/>
      <c r="Q48" s="130"/>
      <c r="R48" s="130"/>
      <c r="S48" s="130"/>
      <c r="T48" s="130"/>
      <c r="U48" s="130"/>
      <c r="V48" s="130"/>
      <c r="W48" s="127">
        <f t="shared" si="80"/>
        <v>0</v>
      </c>
      <c r="Y48" s="2"/>
      <c r="Z48" s="6" t="s">
        <v>7</v>
      </c>
      <c r="AA48" s="129"/>
      <c r="AB48" s="130"/>
      <c r="AC48" s="130"/>
      <c r="AD48" s="130"/>
      <c r="AE48" s="130"/>
      <c r="AF48" s="130"/>
      <c r="AG48" s="130"/>
      <c r="AH48" s="130"/>
      <c r="AI48" s="127">
        <f t="shared" si="81"/>
        <v>0</v>
      </c>
      <c r="AK48" s="2"/>
      <c r="AL48" s="6" t="s">
        <v>7</v>
      </c>
      <c r="AM48" s="129"/>
      <c r="AN48" s="130"/>
      <c r="AO48" s="130"/>
      <c r="AP48" s="130"/>
      <c r="AQ48" s="130"/>
      <c r="AR48" s="130"/>
      <c r="AS48" s="130"/>
      <c r="AT48" s="130"/>
      <c r="AU48" s="127">
        <f t="shared" si="82"/>
        <v>0</v>
      </c>
      <c r="AW48" s="2"/>
      <c r="AX48" s="6" t="s">
        <v>7</v>
      </c>
      <c r="AY48" s="129"/>
      <c r="AZ48" s="130"/>
      <c r="BA48" s="130"/>
      <c r="BB48" s="130"/>
      <c r="BC48" s="130"/>
      <c r="BD48" s="130"/>
      <c r="BE48" s="130"/>
      <c r="BF48" s="130"/>
      <c r="BG48" s="127">
        <f t="shared" si="83"/>
        <v>0</v>
      </c>
      <c r="BI48" s="69" t="str">
        <f t="shared" ref="BI48:BI49" si="84">IF(OR(K48&lt;0,W48&lt;0,AI48&lt;0,AU48&lt;0,BG48&lt;0),"!! Total must be &gt;= sum by situation",IF(OR(C48&lt;SUM(O48,AA48,AM48,AY48),D48&lt;SUM(P48,AB48,AN48,AZ48),E48&lt;SUM(Q48,AC48,AO48,BA48),F48&lt;SUM(R48,AD48,AP48,BB48),G48&lt;SUM(S48,AE48,AQ48,BC48),H48&lt;SUM(T48,AF48,AR48,BD48),I48&lt;SUM(U48,AG48,AS48,BE48),J48&lt;SUM(V48,AH48,AT48,BF48)),"!! Values in FU1 must be &gt;= sum of values in FU2 - FU5",""))</f>
        <v/>
      </c>
      <c r="BK48" s="246"/>
    </row>
    <row r="49" spans="1:63" ht="15" thickBot="1" x14ac:dyDescent="0.4">
      <c r="A49" s="3"/>
      <c r="B49" s="6" t="s">
        <v>440</v>
      </c>
      <c r="C49" s="133"/>
      <c r="D49" s="133"/>
      <c r="E49" s="134"/>
      <c r="F49" s="134"/>
      <c r="G49" s="134"/>
      <c r="H49" s="134"/>
      <c r="I49" s="134"/>
      <c r="J49" s="134"/>
      <c r="K49" s="128">
        <f t="shared" si="79"/>
        <v>0</v>
      </c>
      <c r="M49" s="3"/>
      <c r="N49" s="6" t="s">
        <v>440</v>
      </c>
      <c r="O49" s="133"/>
      <c r="P49" s="133"/>
      <c r="Q49" s="134"/>
      <c r="R49" s="134"/>
      <c r="S49" s="134"/>
      <c r="T49" s="134"/>
      <c r="U49" s="134"/>
      <c r="V49" s="134"/>
      <c r="W49" s="128">
        <f t="shared" si="80"/>
        <v>0</v>
      </c>
      <c r="Y49" s="3"/>
      <c r="Z49" s="6" t="s">
        <v>440</v>
      </c>
      <c r="AA49" s="133"/>
      <c r="AB49" s="133"/>
      <c r="AC49" s="134"/>
      <c r="AD49" s="134"/>
      <c r="AE49" s="134"/>
      <c r="AF49" s="134"/>
      <c r="AG49" s="134"/>
      <c r="AH49" s="134"/>
      <c r="AI49" s="128">
        <f t="shared" si="81"/>
        <v>0</v>
      </c>
      <c r="AK49" s="3"/>
      <c r="AL49" s="6" t="s">
        <v>440</v>
      </c>
      <c r="AM49" s="133"/>
      <c r="AN49" s="133"/>
      <c r="AO49" s="134"/>
      <c r="AP49" s="134"/>
      <c r="AQ49" s="134"/>
      <c r="AR49" s="134"/>
      <c r="AS49" s="134"/>
      <c r="AT49" s="134"/>
      <c r="AU49" s="128">
        <f t="shared" si="82"/>
        <v>0</v>
      </c>
      <c r="AW49" s="3"/>
      <c r="AX49" s="6" t="s">
        <v>440</v>
      </c>
      <c r="AY49" s="133"/>
      <c r="AZ49" s="133"/>
      <c r="BA49" s="134"/>
      <c r="BB49" s="134"/>
      <c r="BC49" s="134"/>
      <c r="BD49" s="134"/>
      <c r="BE49" s="134"/>
      <c r="BF49" s="134"/>
      <c r="BG49" s="128">
        <f t="shared" si="83"/>
        <v>0</v>
      </c>
      <c r="BI49" s="69" t="str">
        <f t="shared" si="84"/>
        <v/>
      </c>
      <c r="BK49" s="246"/>
    </row>
    <row r="50" spans="1:63" ht="15" thickTop="1" x14ac:dyDescent="0.35">
      <c r="A50" s="117" t="s">
        <v>161</v>
      </c>
      <c r="B50" s="118"/>
      <c r="C50" s="217"/>
      <c r="D50" s="184"/>
      <c r="E50" s="185"/>
      <c r="F50" s="185"/>
      <c r="G50" s="185"/>
      <c r="H50" s="185"/>
      <c r="I50" s="185"/>
      <c r="J50" s="185"/>
      <c r="K50" s="32"/>
      <c r="M50" s="117" t="s">
        <v>161</v>
      </c>
      <c r="N50" s="118"/>
      <c r="O50" s="217"/>
      <c r="P50" s="184"/>
      <c r="Q50" s="185"/>
      <c r="R50" s="185"/>
      <c r="S50" s="185"/>
      <c r="T50" s="185"/>
      <c r="U50" s="185"/>
      <c r="V50" s="185"/>
      <c r="W50" s="32"/>
      <c r="Y50" s="117" t="s">
        <v>161</v>
      </c>
      <c r="Z50" s="118"/>
      <c r="AA50" s="217"/>
      <c r="AB50" s="184"/>
      <c r="AC50" s="185"/>
      <c r="AD50" s="185"/>
      <c r="AE50" s="185"/>
      <c r="AF50" s="185"/>
      <c r="AG50" s="185"/>
      <c r="AH50" s="185"/>
      <c r="AI50" s="32"/>
      <c r="AK50" s="117" t="s">
        <v>161</v>
      </c>
      <c r="AL50" s="118"/>
      <c r="AM50" s="217"/>
      <c r="AN50" s="184"/>
      <c r="AO50" s="185"/>
      <c r="AP50" s="185"/>
      <c r="AQ50" s="185"/>
      <c r="AR50" s="185"/>
      <c r="AS50" s="185"/>
      <c r="AT50" s="185"/>
      <c r="AU50" s="32"/>
      <c r="AW50" s="117" t="s">
        <v>161</v>
      </c>
      <c r="AX50" s="118"/>
      <c r="AY50" s="217"/>
      <c r="AZ50" s="184"/>
      <c r="BA50" s="185"/>
      <c r="BB50" s="185"/>
      <c r="BC50" s="185"/>
      <c r="BD50" s="185"/>
      <c r="BE50" s="185"/>
      <c r="BF50" s="185"/>
      <c r="BG50" s="32"/>
      <c r="BI50" s="69"/>
      <c r="BK50" s="246"/>
    </row>
    <row r="51" spans="1:63" ht="15" hidden="1" customHeight="1" x14ac:dyDescent="0.35">
      <c r="A51" s="14" t="str">
        <f>A50</f>
        <v>18 months after exit</v>
      </c>
      <c r="B51" s="15"/>
      <c r="C51" s="215"/>
      <c r="D51" s="182"/>
      <c r="E51" s="182"/>
      <c r="F51" s="182"/>
      <c r="G51" s="182"/>
      <c r="H51" s="182"/>
      <c r="I51" s="182"/>
      <c r="J51" s="183"/>
      <c r="K51" s="34" t="e">
        <f>#REF!</f>
        <v>#REF!</v>
      </c>
      <c r="M51" s="14" t="str">
        <f>M50</f>
        <v>18 months after exit</v>
      </c>
      <c r="N51" s="15"/>
      <c r="O51" s="215"/>
      <c r="P51" s="182"/>
      <c r="Q51" s="182"/>
      <c r="R51" s="182"/>
      <c r="S51" s="182"/>
      <c r="T51" s="182"/>
      <c r="U51" s="182"/>
      <c r="V51" s="183"/>
      <c r="W51" s="34" t="e">
        <f>#REF!</f>
        <v>#REF!</v>
      </c>
      <c r="Y51" s="14" t="str">
        <f>Y50</f>
        <v>18 months after exit</v>
      </c>
      <c r="Z51" s="15"/>
      <c r="AA51" s="215"/>
      <c r="AB51" s="182"/>
      <c r="AC51" s="182"/>
      <c r="AD51" s="182"/>
      <c r="AE51" s="182"/>
      <c r="AF51" s="182"/>
      <c r="AG51" s="182"/>
      <c r="AH51" s="183"/>
      <c r="AI51" s="34" t="e">
        <f>#REF!</f>
        <v>#REF!</v>
      </c>
      <c r="AK51" s="14" t="str">
        <f>AK50</f>
        <v>18 months after exit</v>
      </c>
      <c r="AL51" s="15"/>
      <c r="AM51" s="215"/>
      <c r="AN51" s="182"/>
      <c r="AO51" s="182"/>
      <c r="AP51" s="182"/>
      <c r="AQ51" s="182"/>
      <c r="AR51" s="182"/>
      <c r="AS51" s="182"/>
      <c r="AT51" s="183"/>
      <c r="AU51" s="34" t="e">
        <f>#REF!</f>
        <v>#REF!</v>
      </c>
      <c r="AW51" s="14" t="str">
        <f>AW50</f>
        <v>18 months after exit</v>
      </c>
      <c r="AX51" s="15"/>
      <c r="AY51" s="215"/>
      <c r="AZ51" s="182"/>
      <c r="BA51" s="182"/>
      <c r="BB51" s="182"/>
      <c r="BC51" s="182"/>
      <c r="BD51" s="182"/>
      <c r="BE51" s="182"/>
      <c r="BF51" s="183"/>
      <c r="BG51" s="34" t="e">
        <f>#REF!</f>
        <v>#REF!</v>
      </c>
      <c r="BI51" s="69"/>
      <c r="BK51" s="246"/>
    </row>
    <row r="52" spans="1:63" x14ac:dyDescent="0.35">
      <c r="A52" s="4" t="s">
        <v>106</v>
      </c>
      <c r="B52" s="220"/>
      <c r="C52" s="212" t="str">
        <f>C$18</f>
        <v>Total</v>
      </c>
      <c r="D52" s="221" t="str">
        <f>D$18</f>
        <v>Employment</v>
      </c>
      <c r="E52" s="221" t="str">
        <f t="shared" ref="E52:J52" si="85">E$18</f>
        <v>Education</v>
      </c>
      <c r="F52" s="221" t="str">
        <f t="shared" si="85"/>
        <v>Apprenticeship</v>
      </c>
      <c r="G52" s="221" t="str">
        <f t="shared" si="85"/>
        <v>Traineeship</v>
      </c>
      <c r="H52" s="221" t="str">
        <f t="shared" si="85"/>
        <v>Unemployment</v>
      </c>
      <c r="I52" s="221" t="str">
        <f t="shared" si="85"/>
        <v>Inactivity</v>
      </c>
      <c r="J52" s="221" t="str">
        <f t="shared" si="85"/>
        <v>Not applicable</v>
      </c>
      <c r="K52" s="223" t="str">
        <f t="shared" ref="K52" si="86">K$18</f>
        <v>Unknown</v>
      </c>
      <c r="M52" s="224" t="s">
        <v>106</v>
      </c>
      <c r="N52" s="220"/>
      <c r="O52" s="212" t="str">
        <f>O$18</f>
        <v>Total</v>
      </c>
      <c r="P52" s="221" t="str">
        <f>P$18</f>
        <v>Employment</v>
      </c>
      <c r="Q52" s="221" t="str">
        <f t="shared" ref="Q52:V52" si="87">Q$18</f>
        <v>Education</v>
      </c>
      <c r="R52" s="221" t="str">
        <f t="shared" si="87"/>
        <v>Apprenticeship</v>
      </c>
      <c r="S52" s="221" t="str">
        <f t="shared" si="87"/>
        <v>Traineeship</v>
      </c>
      <c r="T52" s="221" t="str">
        <f t="shared" si="87"/>
        <v>Unemployment</v>
      </c>
      <c r="U52" s="221" t="str">
        <f t="shared" si="87"/>
        <v>Inactivity</v>
      </c>
      <c r="V52" s="221" t="str">
        <f t="shared" si="87"/>
        <v>Not applicable</v>
      </c>
      <c r="W52" s="223" t="str">
        <f t="shared" ref="W52" si="88">W$18</f>
        <v>Unknown</v>
      </c>
      <c r="Y52" s="224" t="s">
        <v>106</v>
      </c>
      <c r="Z52" s="220"/>
      <c r="AA52" s="212" t="str">
        <f>AA$18</f>
        <v>Total</v>
      </c>
      <c r="AB52" s="221" t="str">
        <f>AB$18</f>
        <v>Employment</v>
      </c>
      <c r="AC52" s="221" t="str">
        <f t="shared" ref="AC52:AH52" si="89">AC$18</f>
        <v>Education</v>
      </c>
      <c r="AD52" s="221" t="str">
        <f t="shared" si="89"/>
        <v>Apprenticeship</v>
      </c>
      <c r="AE52" s="221" t="str">
        <f t="shared" si="89"/>
        <v>Traineeship</v>
      </c>
      <c r="AF52" s="221" t="str">
        <f t="shared" si="89"/>
        <v>Unemployment</v>
      </c>
      <c r="AG52" s="221" t="str">
        <f t="shared" si="89"/>
        <v>Inactivity</v>
      </c>
      <c r="AH52" s="221" t="str">
        <f t="shared" si="89"/>
        <v>Not applicable</v>
      </c>
      <c r="AI52" s="223" t="str">
        <f t="shared" ref="AI52" si="90">AI$18</f>
        <v>Unknown</v>
      </c>
      <c r="AK52" s="224" t="s">
        <v>106</v>
      </c>
      <c r="AL52" s="220"/>
      <c r="AM52" s="212" t="str">
        <f>AM$18</f>
        <v>Total</v>
      </c>
      <c r="AN52" s="221" t="str">
        <f>AN$18</f>
        <v>Employment</v>
      </c>
      <c r="AO52" s="221" t="str">
        <f t="shared" ref="AO52:AT52" si="91">AO$18</f>
        <v>Education</v>
      </c>
      <c r="AP52" s="221" t="str">
        <f t="shared" si="91"/>
        <v>Apprenticeship</v>
      </c>
      <c r="AQ52" s="221" t="str">
        <f t="shared" si="91"/>
        <v>Traineeship</v>
      </c>
      <c r="AR52" s="221" t="str">
        <f t="shared" si="91"/>
        <v>Unemployment</v>
      </c>
      <c r="AS52" s="221" t="str">
        <f t="shared" si="91"/>
        <v>Inactivity</v>
      </c>
      <c r="AT52" s="221" t="str">
        <f t="shared" si="91"/>
        <v>Not applicable</v>
      </c>
      <c r="AU52" s="223" t="str">
        <f t="shared" ref="AU52" si="92">AU$18</f>
        <v>Unknown</v>
      </c>
      <c r="AW52" s="224" t="s">
        <v>106</v>
      </c>
      <c r="AX52" s="220"/>
      <c r="AY52" s="212" t="str">
        <f>AY$18</f>
        <v>Total</v>
      </c>
      <c r="AZ52" s="221" t="str">
        <f>AZ$18</f>
        <v>Employment</v>
      </c>
      <c r="BA52" s="221" t="str">
        <f t="shared" ref="BA52:BF52" si="93">BA$18</f>
        <v>Education</v>
      </c>
      <c r="BB52" s="221" t="str">
        <f t="shared" si="93"/>
        <v>Apprenticeship</v>
      </c>
      <c r="BC52" s="221" t="str">
        <f t="shared" si="93"/>
        <v>Traineeship</v>
      </c>
      <c r="BD52" s="221" t="str">
        <f t="shared" si="93"/>
        <v>Unemployment</v>
      </c>
      <c r="BE52" s="221" t="str">
        <f t="shared" si="93"/>
        <v>Inactivity</v>
      </c>
      <c r="BF52" s="221" t="str">
        <f t="shared" si="93"/>
        <v>Not applicable</v>
      </c>
      <c r="BG52" s="223" t="str">
        <f t="shared" ref="BG52" si="94">BG$18</f>
        <v>Unknown</v>
      </c>
      <c r="BI52" s="69" t="str" cm="1">
        <f t="array" ref="BI52">IF(OR(SUM(IF(O53:W56&lt;(O58:W61+O63:W66),1,0)),SUM(IF(C53:K56&lt;(C58:K61+C63:K66),1,0)),SUM(IF(AA53:AI56&lt;(AA58:AI61+AA63:AI66),1,0)), SUM(IF(AM53:AU56&lt;(AM58:AU61+AM63:AU66),1,0)), SUM(IF(AY53:BG56&lt;(AY58:BG61+AY63:BG66),1,0))),"!! Check sum by sex for one or more columns/rows","")</f>
        <v/>
      </c>
      <c r="BK52" s="246"/>
    </row>
    <row r="53" spans="1:63" x14ac:dyDescent="0.35">
      <c r="A53" s="2"/>
      <c r="B53" s="6" t="s">
        <v>441</v>
      </c>
      <c r="C53" s="129"/>
      <c r="D53" s="130"/>
      <c r="E53" s="130"/>
      <c r="F53" s="130"/>
      <c r="G53" s="130"/>
      <c r="H53" s="130"/>
      <c r="I53" s="130"/>
      <c r="J53" s="130"/>
      <c r="K53" s="127">
        <f t="shared" ref="K53:K56" si="95">C53-SUM(D53:G53,H53:I53,J53)</f>
        <v>0</v>
      </c>
      <c r="M53" s="2"/>
      <c r="N53" s="6" t="s">
        <v>441</v>
      </c>
      <c r="O53" s="129"/>
      <c r="P53" s="130"/>
      <c r="Q53" s="130"/>
      <c r="R53" s="130"/>
      <c r="S53" s="130"/>
      <c r="T53" s="130"/>
      <c r="U53" s="130"/>
      <c r="V53" s="130"/>
      <c r="W53" s="127">
        <f t="shared" ref="W53:W56" si="96">O53-SUM(P53:S53,T53:U53,V53)</f>
        <v>0</v>
      </c>
      <c r="Y53" s="2"/>
      <c r="Z53" s="6" t="s">
        <v>441</v>
      </c>
      <c r="AA53" s="129"/>
      <c r="AB53" s="130"/>
      <c r="AC53" s="130"/>
      <c r="AD53" s="130"/>
      <c r="AE53" s="130"/>
      <c r="AF53" s="130"/>
      <c r="AG53" s="130"/>
      <c r="AH53" s="130"/>
      <c r="AI53" s="127">
        <f t="shared" ref="AI53:AI56" si="97">AA53-SUM(AB53:AE53,AF53:AG53,AH53)</f>
        <v>0</v>
      </c>
      <c r="AK53" s="2"/>
      <c r="AL53" s="6" t="s">
        <v>441</v>
      </c>
      <c r="AM53" s="129"/>
      <c r="AN53" s="130"/>
      <c r="AO53" s="130"/>
      <c r="AP53" s="130"/>
      <c r="AQ53" s="130"/>
      <c r="AR53" s="130"/>
      <c r="AS53" s="130"/>
      <c r="AT53" s="130"/>
      <c r="AU53" s="127">
        <f t="shared" ref="AU53:AU56" si="98">AM53-SUM(AN53:AQ53,AR53:AS53,AT53)</f>
        <v>0</v>
      </c>
      <c r="AW53" s="2"/>
      <c r="AX53" s="6" t="s">
        <v>441</v>
      </c>
      <c r="AY53" s="129"/>
      <c r="AZ53" s="130"/>
      <c r="BA53" s="130"/>
      <c r="BB53" s="130"/>
      <c r="BC53" s="130"/>
      <c r="BD53" s="130"/>
      <c r="BE53" s="130"/>
      <c r="BF53" s="130"/>
      <c r="BG53" s="127">
        <f t="shared" ref="BG53:BG56" si="99">AY53-SUM(AZ53:BC53,BD53:BE53,BF53)</f>
        <v>0</v>
      </c>
      <c r="BI53" s="69" t="str">
        <f>IF(OR(K53&lt;0,W53&lt;0,AI53&lt;0,AU53&lt;0,BG53&lt;0),"!! Total must be &gt;= sum by situation",IF(OR(C53&lt;SUM(O53,AA53,AM53,AY53),D53&lt;SUM(P53,AB53,AN53,AZ53),E53&lt;SUM(Q53,AC53,AO53,BA53),F53&lt;SUM(R53,AD53,AP53,BB53),G53&lt;SUM(S53,AE53,AQ53,BC53),H53&lt;SUM(T53,AF53,AR53,BD53),I53&lt;SUM(U53,AG53,AS53,BE53),J53&lt;SUM(V53,AH53,AT53,BF53)),"!! Values in FU1 must be &gt;= sum of values in FU2 - FU5",""))</f>
        <v/>
      </c>
      <c r="BK53" s="246"/>
    </row>
    <row r="54" spans="1:63" x14ac:dyDescent="0.35">
      <c r="A54" s="2"/>
      <c r="B54" s="6" t="s">
        <v>6</v>
      </c>
      <c r="C54" s="129"/>
      <c r="D54" s="130"/>
      <c r="E54" s="130"/>
      <c r="F54" s="130"/>
      <c r="G54" s="130"/>
      <c r="H54" s="130"/>
      <c r="I54" s="130"/>
      <c r="J54" s="130"/>
      <c r="K54" s="127">
        <f t="shared" si="95"/>
        <v>0</v>
      </c>
      <c r="M54" s="2"/>
      <c r="N54" s="6" t="s">
        <v>6</v>
      </c>
      <c r="O54" s="129"/>
      <c r="P54" s="130"/>
      <c r="Q54" s="130"/>
      <c r="R54" s="130"/>
      <c r="S54" s="130"/>
      <c r="T54" s="130"/>
      <c r="U54" s="130"/>
      <c r="V54" s="130"/>
      <c r="W54" s="127">
        <f t="shared" si="96"/>
        <v>0</v>
      </c>
      <c r="Y54" s="2"/>
      <c r="Z54" s="6" t="s">
        <v>6</v>
      </c>
      <c r="AA54" s="129"/>
      <c r="AB54" s="130"/>
      <c r="AC54" s="130"/>
      <c r="AD54" s="130"/>
      <c r="AE54" s="130"/>
      <c r="AF54" s="130"/>
      <c r="AG54" s="130"/>
      <c r="AH54" s="130"/>
      <c r="AI54" s="127">
        <f t="shared" si="97"/>
        <v>0</v>
      </c>
      <c r="AK54" s="2"/>
      <c r="AL54" s="6" t="s">
        <v>6</v>
      </c>
      <c r="AM54" s="129"/>
      <c r="AN54" s="130"/>
      <c r="AO54" s="130"/>
      <c r="AP54" s="130"/>
      <c r="AQ54" s="130"/>
      <c r="AR54" s="130"/>
      <c r="AS54" s="130"/>
      <c r="AT54" s="130"/>
      <c r="AU54" s="127">
        <f t="shared" si="98"/>
        <v>0</v>
      </c>
      <c r="AW54" s="2"/>
      <c r="AX54" s="6" t="s">
        <v>6</v>
      </c>
      <c r="AY54" s="129"/>
      <c r="AZ54" s="130"/>
      <c r="BA54" s="130"/>
      <c r="BB54" s="130"/>
      <c r="BC54" s="130"/>
      <c r="BD54" s="130"/>
      <c r="BE54" s="130"/>
      <c r="BF54" s="130"/>
      <c r="BG54" s="127">
        <f t="shared" si="99"/>
        <v>0</v>
      </c>
      <c r="BI54" s="69" t="str">
        <f>IF(OR(K54&lt;0,W54&lt;0,AI54&lt;0,AU54&lt;0,BG54&lt;0),"!! Total must be &gt;= sum by situation",IF(OR(C54&lt;SUM(O54,AA54,AM54,AY54),D54&lt;SUM(P54,AB54,AN54,AZ54),E54&lt;SUM(Q54,AC54,AO54,BA54),F54&lt;SUM(R54,AD54,AP54,BB54),G54&lt;SUM(S54,AE54,AQ54,BC54),H54&lt;SUM(T54,AF54,AR54,BD54),I54&lt;SUM(U54,AG54,AS54,BE54),J54&lt;SUM(V54,AH54,AT54,BF54)),"!! Values in FU1 must be &gt;= sum of values in FU2 - FU5",""))</f>
        <v/>
      </c>
      <c r="BK54" s="246"/>
    </row>
    <row r="55" spans="1:63" x14ac:dyDescent="0.35">
      <c r="A55" s="2"/>
      <c r="B55" s="6" t="s">
        <v>7</v>
      </c>
      <c r="C55" s="129"/>
      <c r="D55" s="130"/>
      <c r="E55" s="130"/>
      <c r="F55" s="130"/>
      <c r="G55" s="130"/>
      <c r="H55" s="130"/>
      <c r="I55" s="130"/>
      <c r="J55" s="130"/>
      <c r="K55" s="127">
        <f t="shared" si="95"/>
        <v>0</v>
      </c>
      <c r="M55" s="2"/>
      <c r="N55" s="6" t="s">
        <v>7</v>
      </c>
      <c r="O55" s="129"/>
      <c r="P55" s="130"/>
      <c r="Q55" s="130"/>
      <c r="R55" s="130"/>
      <c r="S55" s="130"/>
      <c r="T55" s="130"/>
      <c r="U55" s="130"/>
      <c r="V55" s="130"/>
      <c r="W55" s="127">
        <f t="shared" si="96"/>
        <v>0</v>
      </c>
      <c r="Y55" s="2"/>
      <c r="Z55" s="6" t="s">
        <v>7</v>
      </c>
      <c r="AA55" s="129"/>
      <c r="AB55" s="130"/>
      <c r="AC55" s="130"/>
      <c r="AD55" s="130"/>
      <c r="AE55" s="130"/>
      <c r="AF55" s="130"/>
      <c r="AG55" s="130"/>
      <c r="AH55" s="130"/>
      <c r="AI55" s="127">
        <f t="shared" si="97"/>
        <v>0</v>
      </c>
      <c r="AK55" s="2"/>
      <c r="AL55" s="6" t="s">
        <v>7</v>
      </c>
      <c r="AM55" s="129"/>
      <c r="AN55" s="130"/>
      <c r="AO55" s="130"/>
      <c r="AP55" s="130"/>
      <c r="AQ55" s="130"/>
      <c r="AR55" s="130"/>
      <c r="AS55" s="130"/>
      <c r="AT55" s="130"/>
      <c r="AU55" s="127">
        <f t="shared" si="98"/>
        <v>0</v>
      </c>
      <c r="AW55" s="2"/>
      <c r="AX55" s="6" t="s">
        <v>7</v>
      </c>
      <c r="AY55" s="129"/>
      <c r="AZ55" s="130"/>
      <c r="BA55" s="130"/>
      <c r="BB55" s="130"/>
      <c r="BC55" s="130"/>
      <c r="BD55" s="130"/>
      <c r="BE55" s="130"/>
      <c r="BF55" s="130"/>
      <c r="BG55" s="127">
        <f t="shared" si="99"/>
        <v>0</v>
      </c>
      <c r="BI55" s="69" t="str">
        <f t="shared" ref="BI55:BI56" si="100">IF(OR(K55&lt;0,W55&lt;0,AI55&lt;0,AU55&lt;0,BG55&lt;0),"!! Total must be &gt;= sum by situation",IF(OR(C55&lt;SUM(O55,AA55,AM55,AY55),D55&lt;SUM(P55,AB55,AN55,AZ55),E55&lt;SUM(Q55,AC55,AO55,BA55),F55&lt;SUM(R55,AD55,AP55,BB55),G55&lt;SUM(S55,AE55,AQ55,BC55),H55&lt;SUM(T55,AF55,AR55,BD55),I55&lt;SUM(U55,AG55,AS55,BE55),J55&lt;SUM(V55,AH55,AT55,BF55)),"!! Values in FU1 must be &gt;= sum of values in FU2 - FU5",""))</f>
        <v/>
      </c>
      <c r="BK55" s="246"/>
    </row>
    <row r="56" spans="1:63" x14ac:dyDescent="0.35">
      <c r="A56" s="2"/>
      <c r="B56" s="6" t="s">
        <v>440</v>
      </c>
      <c r="C56" s="129"/>
      <c r="D56" s="130"/>
      <c r="E56" s="130"/>
      <c r="F56" s="130"/>
      <c r="G56" s="130"/>
      <c r="H56" s="130"/>
      <c r="I56" s="130"/>
      <c r="J56" s="130"/>
      <c r="K56" s="127">
        <f t="shared" si="95"/>
        <v>0</v>
      </c>
      <c r="M56" s="2"/>
      <c r="N56" s="6" t="s">
        <v>440</v>
      </c>
      <c r="O56" s="129"/>
      <c r="P56" s="130"/>
      <c r="Q56" s="130"/>
      <c r="R56" s="130"/>
      <c r="S56" s="130"/>
      <c r="T56" s="130"/>
      <c r="U56" s="130"/>
      <c r="V56" s="130"/>
      <c r="W56" s="127">
        <f t="shared" si="96"/>
        <v>0</v>
      </c>
      <c r="Y56" s="2"/>
      <c r="Z56" s="6" t="s">
        <v>440</v>
      </c>
      <c r="AA56" s="129"/>
      <c r="AB56" s="130"/>
      <c r="AC56" s="130"/>
      <c r="AD56" s="130"/>
      <c r="AE56" s="130"/>
      <c r="AF56" s="130"/>
      <c r="AG56" s="130"/>
      <c r="AH56" s="130"/>
      <c r="AI56" s="127">
        <f t="shared" si="97"/>
        <v>0</v>
      </c>
      <c r="AK56" s="2"/>
      <c r="AL56" s="6" t="s">
        <v>440</v>
      </c>
      <c r="AM56" s="129"/>
      <c r="AN56" s="130"/>
      <c r="AO56" s="130"/>
      <c r="AP56" s="130"/>
      <c r="AQ56" s="130"/>
      <c r="AR56" s="130"/>
      <c r="AS56" s="130"/>
      <c r="AT56" s="130"/>
      <c r="AU56" s="127">
        <f t="shared" si="98"/>
        <v>0</v>
      </c>
      <c r="AW56" s="2"/>
      <c r="AX56" s="6" t="s">
        <v>440</v>
      </c>
      <c r="AY56" s="129"/>
      <c r="AZ56" s="130"/>
      <c r="BA56" s="130"/>
      <c r="BB56" s="130"/>
      <c r="BC56" s="130"/>
      <c r="BD56" s="130"/>
      <c r="BE56" s="130"/>
      <c r="BF56" s="130"/>
      <c r="BG56" s="127">
        <f t="shared" si="99"/>
        <v>0</v>
      </c>
      <c r="BI56" s="69" t="str">
        <f t="shared" si="100"/>
        <v/>
      </c>
      <c r="BK56" s="246"/>
    </row>
    <row r="57" spans="1:63" x14ac:dyDescent="0.35">
      <c r="A57" s="224" t="s">
        <v>4</v>
      </c>
      <c r="B57" s="220"/>
      <c r="C57" s="212" t="str">
        <f>C$18</f>
        <v>Total</v>
      </c>
      <c r="D57" s="221" t="str">
        <f t="shared" ref="D57:J57" si="101">D$18</f>
        <v>Employment</v>
      </c>
      <c r="E57" s="221" t="str">
        <f t="shared" si="101"/>
        <v>Education</v>
      </c>
      <c r="F57" s="221" t="str">
        <f t="shared" si="101"/>
        <v>Apprenticeship</v>
      </c>
      <c r="G57" s="221" t="str">
        <f t="shared" si="101"/>
        <v>Traineeship</v>
      </c>
      <c r="H57" s="221" t="str">
        <f t="shared" si="101"/>
        <v>Unemployment</v>
      </c>
      <c r="I57" s="221" t="str">
        <f t="shared" si="101"/>
        <v>Inactivity</v>
      </c>
      <c r="J57" s="221" t="str">
        <f t="shared" si="101"/>
        <v>Not applicable</v>
      </c>
      <c r="K57" s="223" t="str">
        <f t="shared" ref="K57" si="102">K$18</f>
        <v>Unknown</v>
      </c>
      <c r="M57" s="224" t="s">
        <v>4</v>
      </c>
      <c r="N57" s="220"/>
      <c r="O57" s="212" t="str">
        <f>O$18</f>
        <v>Total</v>
      </c>
      <c r="P57" s="221" t="str">
        <f t="shared" ref="P57:V57" si="103">P$18</f>
        <v>Employment</v>
      </c>
      <c r="Q57" s="221" t="str">
        <f t="shared" si="103"/>
        <v>Education</v>
      </c>
      <c r="R57" s="221" t="str">
        <f t="shared" si="103"/>
        <v>Apprenticeship</v>
      </c>
      <c r="S57" s="221" t="str">
        <f t="shared" si="103"/>
        <v>Traineeship</v>
      </c>
      <c r="T57" s="221" t="str">
        <f t="shared" si="103"/>
        <v>Unemployment</v>
      </c>
      <c r="U57" s="221" t="str">
        <f t="shared" si="103"/>
        <v>Inactivity</v>
      </c>
      <c r="V57" s="221" t="str">
        <f t="shared" si="103"/>
        <v>Not applicable</v>
      </c>
      <c r="W57" s="223" t="str">
        <f t="shared" ref="W57" si="104">W$18</f>
        <v>Unknown</v>
      </c>
      <c r="Y57" s="224" t="s">
        <v>4</v>
      </c>
      <c r="Z57" s="220"/>
      <c r="AA57" s="212" t="str">
        <f>AA$18</f>
        <v>Total</v>
      </c>
      <c r="AB57" s="221" t="str">
        <f t="shared" ref="AB57:AH57" si="105">AB$18</f>
        <v>Employment</v>
      </c>
      <c r="AC57" s="221" t="str">
        <f t="shared" si="105"/>
        <v>Education</v>
      </c>
      <c r="AD57" s="221" t="str">
        <f t="shared" si="105"/>
        <v>Apprenticeship</v>
      </c>
      <c r="AE57" s="221" t="str">
        <f t="shared" si="105"/>
        <v>Traineeship</v>
      </c>
      <c r="AF57" s="221" t="str">
        <f t="shared" si="105"/>
        <v>Unemployment</v>
      </c>
      <c r="AG57" s="221" t="str">
        <f t="shared" si="105"/>
        <v>Inactivity</v>
      </c>
      <c r="AH57" s="221" t="str">
        <f t="shared" si="105"/>
        <v>Not applicable</v>
      </c>
      <c r="AI57" s="223" t="str">
        <f t="shared" ref="AI57" si="106">AI$18</f>
        <v>Unknown</v>
      </c>
      <c r="AK57" s="224" t="s">
        <v>4</v>
      </c>
      <c r="AL57" s="220"/>
      <c r="AM57" s="212" t="str">
        <f>AM$18</f>
        <v>Total</v>
      </c>
      <c r="AN57" s="221" t="str">
        <f t="shared" ref="AN57:AT57" si="107">AN$18</f>
        <v>Employment</v>
      </c>
      <c r="AO57" s="221" t="str">
        <f t="shared" si="107"/>
        <v>Education</v>
      </c>
      <c r="AP57" s="221" t="str">
        <f t="shared" si="107"/>
        <v>Apprenticeship</v>
      </c>
      <c r="AQ57" s="221" t="str">
        <f t="shared" si="107"/>
        <v>Traineeship</v>
      </c>
      <c r="AR57" s="221" t="str">
        <f t="shared" si="107"/>
        <v>Unemployment</v>
      </c>
      <c r="AS57" s="221" t="str">
        <f t="shared" si="107"/>
        <v>Inactivity</v>
      </c>
      <c r="AT57" s="221" t="str">
        <f t="shared" si="107"/>
        <v>Not applicable</v>
      </c>
      <c r="AU57" s="223" t="str">
        <f t="shared" ref="AU57" si="108">AU$18</f>
        <v>Unknown</v>
      </c>
      <c r="AW57" s="224" t="s">
        <v>4</v>
      </c>
      <c r="AX57" s="220"/>
      <c r="AY57" s="212" t="str">
        <f>AY$18</f>
        <v>Total</v>
      </c>
      <c r="AZ57" s="221" t="str">
        <f t="shared" ref="AZ57:BF57" si="109">AZ$18</f>
        <v>Employment</v>
      </c>
      <c r="BA57" s="221" t="str">
        <f t="shared" si="109"/>
        <v>Education</v>
      </c>
      <c r="BB57" s="221" t="str">
        <f t="shared" si="109"/>
        <v>Apprenticeship</v>
      </c>
      <c r="BC57" s="221" t="str">
        <f t="shared" si="109"/>
        <v>Traineeship</v>
      </c>
      <c r="BD57" s="221" t="str">
        <f t="shared" si="109"/>
        <v>Unemployment</v>
      </c>
      <c r="BE57" s="221" t="str">
        <f t="shared" si="109"/>
        <v>Inactivity</v>
      </c>
      <c r="BF57" s="221" t="str">
        <f t="shared" si="109"/>
        <v>Not applicable</v>
      </c>
      <c r="BG57" s="223" t="str">
        <f t="shared" ref="BG57" si="110">BG$18</f>
        <v>Unknown</v>
      </c>
      <c r="BI57" s="69"/>
      <c r="BK57" s="246"/>
    </row>
    <row r="58" spans="1:63" x14ac:dyDescent="0.35">
      <c r="A58" s="2"/>
      <c r="B58" s="6" t="s">
        <v>441</v>
      </c>
      <c r="C58" s="129"/>
      <c r="D58" s="130"/>
      <c r="E58" s="130"/>
      <c r="F58" s="130"/>
      <c r="G58" s="130"/>
      <c r="H58" s="130"/>
      <c r="I58" s="130"/>
      <c r="J58" s="130"/>
      <c r="K58" s="127">
        <f t="shared" ref="K58:K61" si="111">C58-SUM(D58:G58,H58:I58,J58)</f>
        <v>0</v>
      </c>
      <c r="M58" s="2"/>
      <c r="N58" s="6" t="s">
        <v>441</v>
      </c>
      <c r="O58" s="129"/>
      <c r="P58" s="130"/>
      <c r="Q58" s="130"/>
      <c r="R58" s="130"/>
      <c r="S58" s="130"/>
      <c r="T58" s="130"/>
      <c r="U58" s="130"/>
      <c r="V58" s="130"/>
      <c r="W58" s="127">
        <f t="shared" ref="W58:W61" si="112">O58-SUM(P58:S58,T58:U58,V58)</f>
        <v>0</v>
      </c>
      <c r="Y58" s="2"/>
      <c r="Z58" s="6" t="s">
        <v>441</v>
      </c>
      <c r="AA58" s="129"/>
      <c r="AB58" s="130"/>
      <c r="AC58" s="130"/>
      <c r="AD58" s="130"/>
      <c r="AE58" s="130"/>
      <c r="AF58" s="130"/>
      <c r="AG58" s="130"/>
      <c r="AH58" s="130"/>
      <c r="AI58" s="127">
        <f t="shared" ref="AI58:AI61" si="113">AA58-SUM(AB58:AE58,AF58:AG58,AH58)</f>
        <v>0</v>
      </c>
      <c r="AK58" s="2"/>
      <c r="AL58" s="6" t="s">
        <v>441</v>
      </c>
      <c r="AM58" s="129"/>
      <c r="AN58" s="130"/>
      <c r="AO58" s="130"/>
      <c r="AP58" s="130"/>
      <c r="AQ58" s="130"/>
      <c r="AR58" s="130"/>
      <c r="AS58" s="130"/>
      <c r="AT58" s="130"/>
      <c r="AU58" s="127">
        <f t="shared" ref="AU58:AU61" si="114">AM58-SUM(AN58:AQ58,AR58:AS58,AT58)</f>
        <v>0</v>
      </c>
      <c r="AW58" s="2"/>
      <c r="AX58" s="6" t="s">
        <v>441</v>
      </c>
      <c r="AY58" s="129"/>
      <c r="AZ58" s="130"/>
      <c r="BA58" s="130"/>
      <c r="BB58" s="130"/>
      <c r="BC58" s="130"/>
      <c r="BD58" s="130"/>
      <c r="BE58" s="130"/>
      <c r="BF58" s="130"/>
      <c r="BG58" s="127">
        <f t="shared" ref="BG58:BG61" si="115">AY58-SUM(AZ58:BC58,BD58:BE58,BF58)</f>
        <v>0</v>
      </c>
      <c r="BI58" s="69" t="str">
        <f>IF(OR(K58&lt;0,W58&lt;0,AI58&lt;0,AU58&lt;0,BG58&lt;0),"!! Total must be &gt;= sum by situation",IF(OR(C58&lt;SUM(O58,AA58,AM58,AY58),D58&lt;SUM(P58,AB58,AN58,AZ58),E58&lt;SUM(Q58,AC58,AO58,BA58),F58&lt;SUM(R58,AD58,AP58,BB58),G58&lt;SUM(S58,AE58,AQ58,BC58),H58&lt;SUM(T58,AF58,AR58,BD58),I58&lt;SUM(U58,AG58,AS58,BE58),J58&lt;SUM(V58,AH58,AT58,BF58)),"!! Values in FU1 must be &gt;= sum of values in FU2 - FU5",""))</f>
        <v/>
      </c>
      <c r="BK58" s="246"/>
    </row>
    <row r="59" spans="1:63" x14ac:dyDescent="0.35">
      <c r="A59" s="2"/>
      <c r="B59" s="6" t="s">
        <v>6</v>
      </c>
      <c r="C59" s="129"/>
      <c r="D59" s="130"/>
      <c r="E59" s="130"/>
      <c r="F59" s="130"/>
      <c r="G59" s="130"/>
      <c r="H59" s="130"/>
      <c r="I59" s="130"/>
      <c r="J59" s="130"/>
      <c r="K59" s="127">
        <f t="shared" si="111"/>
        <v>0</v>
      </c>
      <c r="M59" s="2"/>
      <c r="N59" s="6" t="s">
        <v>6</v>
      </c>
      <c r="O59" s="129"/>
      <c r="P59" s="130"/>
      <c r="Q59" s="130"/>
      <c r="R59" s="130"/>
      <c r="S59" s="130"/>
      <c r="T59" s="130"/>
      <c r="U59" s="130"/>
      <c r="V59" s="130"/>
      <c r="W59" s="127">
        <f t="shared" si="112"/>
        <v>0</v>
      </c>
      <c r="Y59" s="2"/>
      <c r="Z59" s="6" t="s">
        <v>6</v>
      </c>
      <c r="AA59" s="129"/>
      <c r="AB59" s="130"/>
      <c r="AC59" s="130"/>
      <c r="AD59" s="130"/>
      <c r="AE59" s="130"/>
      <c r="AF59" s="130"/>
      <c r="AG59" s="130"/>
      <c r="AH59" s="130"/>
      <c r="AI59" s="127">
        <f t="shared" si="113"/>
        <v>0</v>
      </c>
      <c r="AK59" s="2"/>
      <c r="AL59" s="6" t="s">
        <v>6</v>
      </c>
      <c r="AM59" s="129"/>
      <c r="AN59" s="130"/>
      <c r="AO59" s="130"/>
      <c r="AP59" s="130"/>
      <c r="AQ59" s="130"/>
      <c r="AR59" s="130"/>
      <c r="AS59" s="130"/>
      <c r="AT59" s="130"/>
      <c r="AU59" s="127">
        <f t="shared" si="114"/>
        <v>0</v>
      </c>
      <c r="AW59" s="2"/>
      <c r="AX59" s="6" t="s">
        <v>6</v>
      </c>
      <c r="AY59" s="129"/>
      <c r="AZ59" s="130"/>
      <c r="BA59" s="130"/>
      <c r="BB59" s="130"/>
      <c r="BC59" s="130"/>
      <c r="BD59" s="130"/>
      <c r="BE59" s="130"/>
      <c r="BF59" s="130"/>
      <c r="BG59" s="127">
        <f t="shared" si="115"/>
        <v>0</v>
      </c>
      <c r="BI59" s="69" t="str">
        <f>IF(OR(K59&lt;0,W59&lt;0,AI59&lt;0,AU59&lt;0,BG59&lt;0),"!! Total must be &gt;= sum by situation",IF(OR(C59&lt;SUM(O59,AA59,AM59,AY59),D59&lt;SUM(P59,AB59,AN59,AZ59),E59&lt;SUM(Q59,AC59,AO59,BA59),F59&lt;SUM(R59,AD59,AP59,BB59),G59&lt;SUM(S59,AE59,AQ59,BC59),H59&lt;SUM(T59,AF59,AR59,BD59),I59&lt;SUM(U59,AG59,AS59,BE59),J59&lt;SUM(V59,AH59,AT59,BF59)),"!! Values in FU1 must be &gt;= sum of values in FU2 - FU5",""))</f>
        <v/>
      </c>
      <c r="BK59" s="246"/>
    </row>
    <row r="60" spans="1:63" x14ac:dyDescent="0.35">
      <c r="A60" s="2"/>
      <c r="B60" s="6" t="s">
        <v>7</v>
      </c>
      <c r="C60" s="129"/>
      <c r="D60" s="130"/>
      <c r="E60" s="130"/>
      <c r="F60" s="130"/>
      <c r="G60" s="130"/>
      <c r="H60" s="130"/>
      <c r="I60" s="130"/>
      <c r="J60" s="130"/>
      <c r="K60" s="127">
        <f t="shared" si="111"/>
        <v>0</v>
      </c>
      <c r="M60" s="2"/>
      <c r="N60" s="6" t="s">
        <v>7</v>
      </c>
      <c r="O60" s="129"/>
      <c r="P60" s="130"/>
      <c r="Q60" s="130"/>
      <c r="R60" s="130"/>
      <c r="S60" s="130"/>
      <c r="T60" s="130"/>
      <c r="U60" s="130"/>
      <c r="V60" s="130"/>
      <c r="W60" s="127">
        <f t="shared" si="112"/>
        <v>0</v>
      </c>
      <c r="Y60" s="2"/>
      <c r="Z60" s="6" t="s">
        <v>7</v>
      </c>
      <c r="AA60" s="129"/>
      <c r="AB60" s="130"/>
      <c r="AC60" s="130"/>
      <c r="AD60" s="130"/>
      <c r="AE60" s="130"/>
      <c r="AF60" s="130"/>
      <c r="AG60" s="130"/>
      <c r="AH60" s="130"/>
      <c r="AI60" s="127">
        <f t="shared" si="113"/>
        <v>0</v>
      </c>
      <c r="AK60" s="2"/>
      <c r="AL60" s="6" t="s">
        <v>7</v>
      </c>
      <c r="AM60" s="129"/>
      <c r="AN60" s="130"/>
      <c r="AO60" s="130"/>
      <c r="AP60" s="130"/>
      <c r="AQ60" s="130"/>
      <c r="AR60" s="130"/>
      <c r="AS60" s="130"/>
      <c r="AT60" s="130"/>
      <c r="AU60" s="127">
        <f t="shared" si="114"/>
        <v>0</v>
      </c>
      <c r="AW60" s="2"/>
      <c r="AX60" s="6" t="s">
        <v>7</v>
      </c>
      <c r="AY60" s="129"/>
      <c r="AZ60" s="130"/>
      <c r="BA60" s="130"/>
      <c r="BB60" s="130"/>
      <c r="BC60" s="130"/>
      <c r="BD60" s="130"/>
      <c r="BE60" s="130"/>
      <c r="BF60" s="130"/>
      <c r="BG60" s="127">
        <f t="shared" si="115"/>
        <v>0</v>
      </c>
      <c r="BI60" s="69" t="str">
        <f t="shared" ref="BI60:BI61" si="116">IF(OR(K60&lt;0,W60&lt;0,AI60&lt;0,AU60&lt;0,BG60&lt;0),"!! Total must be &gt;= sum by situation",IF(OR(C60&lt;SUM(O60,AA60,AM60,AY60),D60&lt;SUM(P60,AB60,AN60,AZ60),E60&lt;SUM(Q60,AC60,AO60,BA60),F60&lt;SUM(R60,AD60,AP60,BB60),G60&lt;SUM(S60,AE60,AQ60,BC60),H60&lt;SUM(T60,AF60,AR60,BD60),I60&lt;SUM(U60,AG60,AS60,BE60),J60&lt;SUM(V60,AH60,AT60,BF60)),"!! Values in FU1 must be &gt;= sum of values in FU2 - FU5",""))</f>
        <v/>
      </c>
      <c r="BK60" s="246"/>
    </row>
    <row r="61" spans="1:63" x14ac:dyDescent="0.35">
      <c r="A61" s="2"/>
      <c r="B61" s="6" t="s">
        <v>440</v>
      </c>
      <c r="C61" s="129"/>
      <c r="D61" s="130"/>
      <c r="E61" s="130"/>
      <c r="F61" s="130"/>
      <c r="G61" s="130"/>
      <c r="H61" s="130"/>
      <c r="I61" s="130"/>
      <c r="J61" s="130"/>
      <c r="K61" s="127">
        <f t="shared" si="111"/>
        <v>0</v>
      </c>
      <c r="M61" s="2"/>
      <c r="N61" s="6" t="s">
        <v>440</v>
      </c>
      <c r="O61" s="129"/>
      <c r="P61" s="130"/>
      <c r="Q61" s="130"/>
      <c r="R61" s="130"/>
      <c r="S61" s="130"/>
      <c r="T61" s="130"/>
      <c r="U61" s="130"/>
      <c r="V61" s="130"/>
      <c r="W61" s="127">
        <f t="shared" si="112"/>
        <v>0</v>
      </c>
      <c r="Y61" s="2"/>
      <c r="Z61" s="6" t="s">
        <v>440</v>
      </c>
      <c r="AA61" s="129"/>
      <c r="AB61" s="130"/>
      <c r="AC61" s="130"/>
      <c r="AD61" s="130"/>
      <c r="AE61" s="130"/>
      <c r="AF61" s="130"/>
      <c r="AG61" s="130"/>
      <c r="AH61" s="130"/>
      <c r="AI61" s="127">
        <f t="shared" si="113"/>
        <v>0</v>
      </c>
      <c r="AK61" s="2"/>
      <c r="AL61" s="6" t="s">
        <v>440</v>
      </c>
      <c r="AM61" s="129"/>
      <c r="AN61" s="130"/>
      <c r="AO61" s="130"/>
      <c r="AP61" s="130"/>
      <c r="AQ61" s="130"/>
      <c r="AR61" s="130"/>
      <c r="AS61" s="130"/>
      <c r="AT61" s="130"/>
      <c r="AU61" s="127">
        <f t="shared" si="114"/>
        <v>0</v>
      </c>
      <c r="AW61" s="2"/>
      <c r="AX61" s="6" t="s">
        <v>440</v>
      </c>
      <c r="AY61" s="129"/>
      <c r="AZ61" s="130"/>
      <c r="BA61" s="130"/>
      <c r="BB61" s="130"/>
      <c r="BC61" s="130"/>
      <c r="BD61" s="130"/>
      <c r="BE61" s="130"/>
      <c r="BF61" s="130"/>
      <c r="BG61" s="127">
        <f t="shared" si="115"/>
        <v>0</v>
      </c>
      <c r="BI61" s="69" t="str">
        <f t="shared" si="116"/>
        <v/>
      </c>
      <c r="BK61" s="246"/>
    </row>
    <row r="62" spans="1:63" x14ac:dyDescent="0.35">
      <c r="A62" s="4" t="s">
        <v>5</v>
      </c>
      <c r="B62" s="220"/>
      <c r="C62" s="212" t="str">
        <f>C$18</f>
        <v>Total</v>
      </c>
      <c r="D62" s="221" t="str">
        <f t="shared" ref="D62:J62" si="117">D$18</f>
        <v>Employment</v>
      </c>
      <c r="E62" s="221" t="str">
        <f t="shared" si="117"/>
        <v>Education</v>
      </c>
      <c r="F62" s="221" t="str">
        <f t="shared" si="117"/>
        <v>Apprenticeship</v>
      </c>
      <c r="G62" s="221" t="str">
        <f t="shared" si="117"/>
        <v>Traineeship</v>
      </c>
      <c r="H62" s="221" t="str">
        <f t="shared" si="117"/>
        <v>Unemployment</v>
      </c>
      <c r="I62" s="221" t="str">
        <f t="shared" si="117"/>
        <v>Inactivity</v>
      </c>
      <c r="J62" s="221" t="str">
        <f t="shared" si="117"/>
        <v>Not applicable</v>
      </c>
      <c r="K62" s="223" t="str">
        <f t="shared" ref="K62" si="118">K$18</f>
        <v>Unknown</v>
      </c>
      <c r="M62" s="224" t="s">
        <v>5</v>
      </c>
      <c r="N62" s="220"/>
      <c r="O62" s="212" t="str">
        <f>O$18</f>
        <v>Total</v>
      </c>
      <c r="P62" s="221" t="str">
        <f t="shared" ref="P62:V62" si="119">P$18</f>
        <v>Employment</v>
      </c>
      <c r="Q62" s="221" t="str">
        <f t="shared" si="119"/>
        <v>Education</v>
      </c>
      <c r="R62" s="221" t="str">
        <f t="shared" si="119"/>
        <v>Apprenticeship</v>
      </c>
      <c r="S62" s="221" t="str">
        <f t="shared" si="119"/>
        <v>Traineeship</v>
      </c>
      <c r="T62" s="221" t="str">
        <f t="shared" si="119"/>
        <v>Unemployment</v>
      </c>
      <c r="U62" s="221" t="str">
        <f t="shared" si="119"/>
        <v>Inactivity</v>
      </c>
      <c r="V62" s="221" t="str">
        <f t="shared" si="119"/>
        <v>Not applicable</v>
      </c>
      <c r="W62" s="223" t="str">
        <f t="shared" ref="W62" si="120">W$18</f>
        <v>Unknown</v>
      </c>
      <c r="Y62" s="224" t="s">
        <v>5</v>
      </c>
      <c r="Z62" s="220"/>
      <c r="AA62" s="212" t="str">
        <f>AA$18</f>
        <v>Total</v>
      </c>
      <c r="AB62" s="221" t="str">
        <f t="shared" ref="AB62:AH62" si="121">AB$18</f>
        <v>Employment</v>
      </c>
      <c r="AC62" s="221" t="str">
        <f t="shared" si="121"/>
        <v>Education</v>
      </c>
      <c r="AD62" s="221" t="str">
        <f t="shared" si="121"/>
        <v>Apprenticeship</v>
      </c>
      <c r="AE62" s="221" t="str">
        <f t="shared" si="121"/>
        <v>Traineeship</v>
      </c>
      <c r="AF62" s="221" t="str">
        <f t="shared" si="121"/>
        <v>Unemployment</v>
      </c>
      <c r="AG62" s="221" t="str">
        <f t="shared" si="121"/>
        <v>Inactivity</v>
      </c>
      <c r="AH62" s="221" t="str">
        <f t="shared" si="121"/>
        <v>Not applicable</v>
      </c>
      <c r="AI62" s="223" t="str">
        <f t="shared" ref="AI62" si="122">AI$18</f>
        <v>Unknown</v>
      </c>
      <c r="AK62" s="224" t="s">
        <v>5</v>
      </c>
      <c r="AL62" s="220"/>
      <c r="AM62" s="212" t="str">
        <f>AM$18</f>
        <v>Total</v>
      </c>
      <c r="AN62" s="221" t="str">
        <f t="shared" ref="AN62:AT62" si="123">AN$18</f>
        <v>Employment</v>
      </c>
      <c r="AO62" s="221" t="str">
        <f t="shared" si="123"/>
        <v>Education</v>
      </c>
      <c r="AP62" s="221" t="str">
        <f t="shared" si="123"/>
        <v>Apprenticeship</v>
      </c>
      <c r="AQ62" s="221" t="str">
        <f t="shared" si="123"/>
        <v>Traineeship</v>
      </c>
      <c r="AR62" s="221" t="str">
        <f t="shared" si="123"/>
        <v>Unemployment</v>
      </c>
      <c r="AS62" s="221" t="str">
        <f t="shared" si="123"/>
        <v>Inactivity</v>
      </c>
      <c r="AT62" s="221" t="str">
        <f t="shared" si="123"/>
        <v>Not applicable</v>
      </c>
      <c r="AU62" s="223" t="str">
        <f t="shared" ref="AU62" si="124">AU$18</f>
        <v>Unknown</v>
      </c>
      <c r="AW62" s="224" t="s">
        <v>5</v>
      </c>
      <c r="AX62" s="220"/>
      <c r="AY62" s="212" t="str">
        <f>AY$18</f>
        <v>Total</v>
      </c>
      <c r="AZ62" s="221" t="str">
        <f t="shared" ref="AZ62:BF62" si="125">AZ$18</f>
        <v>Employment</v>
      </c>
      <c r="BA62" s="221" t="str">
        <f t="shared" si="125"/>
        <v>Education</v>
      </c>
      <c r="BB62" s="221" t="str">
        <f t="shared" si="125"/>
        <v>Apprenticeship</v>
      </c>
      <c r="BC62" s="221" t="str">
        <f t="shared" si="125"/>
        <v>Traineeship</v>
      </c>
      <c r="BD62" s="221" t="str">
        <f t="shared" si="125"/>
        <v>Unemployment</v>
      </c>
      <c r="BE62" s="221" t="str">
        <f t="shared" si="125"/>
        <v>Inactivity</v>
      </c>
      <c r="BF62" s="221" t="str">
        <f t="shared" si="125"/>
        <v>Not applicable</v>
      </c>
      <c r="BG62" s="223" t="str">
        <f t="shared" ref="BG62" si="126">BG$18</f>
        <v>Unknown</v>
      </c>
      <c r="BI62" s="69"/>
      <c r="BK62" s="246"/>
    </row>
    <row r="63" spans="1:63" x14ac:dyDescent="0.35">
      <c r="A63" s="2"/>
      <c r="B63" s="6" t="s">
        <v>441</v>
      </c>
      <c r="C63" s="129"/>
      <c r="D63" s="130"/>
      <c r="E63" s="130"/>
      <c r="F63" s="130"/>
      <c r="G63" s="130"/>
      <c r="H63" s="130"/>
      <c r="I63" s="130"/>
      <c r="J63" s="130"/>
      <c r="K63" s="127">
        <f t="shared" ref="K63:K65" si="127">C63-SUM(D63:G63,H63:I63,J63)</f>
        <v>0</v>
      </c>
      <c r="M63" s="2"/>
      <c r="N63" s="6" t="s">
        <v>441</v>
      </c>
      <c r="O63" s="129"/>
      <c r="P63" s="130"/>
      <c r="Q63" s="130"/>
      <c r="R63" s="130"/>
      <c r="S63" s="130"/>
      <c r="T63" s="130"/>
      <c r="U63" s="130"/>
      <c r="V63" s="130"/>
      <c r="W63" s="127">
        <f t="shared" ref="W63:W65" si="128">O63-SUM(P63:S63,T63:U63,V63)</f>
        <v>0</v>
      </c>
      <c r="Y63" s="2"/>
      <c r="Z63" s="6" t="s">
        <v>441</v>
      </c>
      <c r="AA63" s="129"/>
      <c r="AB63" s="130"/>
      <c r="AC63" s="130"/>
      <c r="AD63" s="130"/>
      <c r="AE63" s="130"/>
      <c r="AF63" s="130"/>
      <c r="AG63" s="130"/>
      <c r="AH63" s="130"/>
      <c r="AI63" s="127">
        <f t="shared" ref="AI63:AI65" si="129">AA63-SUM(AB63:AE63,AF63:AG63,AH63)</f>
        <v>0</v>
      </c>
      <c r="AK63" s="2"/>
      <c r="AL63" s="6" t="s">
        <v>441</v>
      </c>
      <c r="AM63" s="129"/>
      <c r="AN63" s="130"/>
      <c r="AO63" s="130"/>
      <c r="AP63" s="130"/>
      <c r="AQ63" s="130"/>
      <c r="AR63" s="130"/>
      <c r="AS63" s="130"/>
      <c r="AT63" s="130"/>
      <c r="AU63" s="127">
        <f t="shared" ref="AU63:AU65" si="130">AM63-SUM(AN63:AQ63,AR63:AS63,AT63)</f>
        <v>0</v>
      </c>
      <c r="AW63" s="2"/>
      <c r="AX63" s="6" t="s">
        <v>441</v>
      </c>
      <c r="AY63" s="129"/>
      <c r="AZ63" s="130"/>
      <c r="BA63" s="130"/>
      <c r="BB63" s="130"/>
      <c r="BC63" s="130"/>
      <c r="BD63" s="130"/>
      <c r="BE63" s="130"/>
      <c r="BF63" s="130"/>
      <c r="BG63" s="127">
        <f t="shared" ref="BG63:BG65" si="131">AY63-SUM(AZ63:BC63,BD63:BE63,BF63)</f>
        <v>0</v>
      </c>
      <c r="BI63" s="69" t="str">
        <f>IF(OR(K63&lt;0,W63&lt;0,AI63&lt;0,AU63&lt;0,BG63&lt;0),"!! Total must be &gt;= sum by situation",IF(OR(C63&lt;SUM(O63,AA63,AM63,AY63),D63&lt;SUM(P63,AB63,AN63,AZ63),E63&lt;SUM(Q63,AC63,AO63,BA63),F63&lt;SUM(R63,AD63,AP63,BB63),G63&lt;SUM(S63,AE63,AQ63,BC63),H63&lt;SUM(T63,AF63,AR63,BD63),I63&lt;SUM(U63,AG63,AS63,BE63),J63&lt;SUM(V63,AH63,AT63,BF63)),"!! Values in FU1 must be &gt;= sum of values in FU2 - FU5",""))</f>
        <v/>
      </c>
      <c r="BK63" s="246"/>
    </row>
    <row r="64" spans="1:63" x14ac:dyDescent="0.35">
      <c r="A64" s="2"/>
      <c r="B64" s="6" t="s">
        <v>6</v>
      </c>
      <c r="C64" s="129"/>
      <c r="D64" s="130"/>
      <c r="E64" s="130"/>
      <c r="F64" s="130"/>
      <c r="G64" s="130"/>
      <c r="H64" s="130"/>
      <c r="I64" s="130"/>
      <c r="J64" s="130"/>
      <c r="K64" s="127">
        <f t="shared" si="127"/>
        <v>0</v>
      </c>
      <c r="M64" s="2"/>
      <c r="N64" s="6" t="s">
        <v>6</v>
      </c>
      <c r="O64" s="129"/>
      <c r="P64" s="130"/>
      <c r="Q64" s="130"/>
      <c r="R64" s="130"/>
      <c r="S64" s="130"/>
      <c r="T64" s="130"/>
      <c r="U64" s="130"/>
      <c r="V64" s="130"/>
      <c r="W64" s="127">
        <f t="shared" si="128"/>
        <v>0</v>
      </c>
      <c r="Y64" s="2"/>
      <c r="Z64" s="6" t="s">
        <v>6</v>
      </c>
      <c r="AA64" s="129"/>
      <c r="AB64" s="130"/>
      <c r="AC64" s="130"/>
      <c r="AD64" s="130"/>
      <c r="AE64" s="130"/>
      <c r="AF64" s="130"/>
      <c r="AG64" s="130"/>
      <c r="AH64" s="130"/>
      <c r="AI64" s="127">
        <f t="shared" si="129"/>
        <v>0</v>
      </c>
      <c r="AK64" s="2"/>
      <c r="AL64" s="6" t="s">
        <v>6</v>
      </c>
      <c r="AM64" s="129"/>
      <c r="AN64" s="130"/>
      <c r="AO64" s="130"/>
      <c r="AP64" s="130"/>
      <c r="AQ64" s="130"/>
      <c r="AR64" s="130"/>
      <c r="AS64" s="130"/>
      <c r="AT64" s="130"/>
      <c r="AU64" s="127">
        <f t="shared" si="130"/>
        <v>0</v>
      </c>
      <c r="AW64" s="2"/>
      <c r="AX64" s="6" t="s">
        <v>6</v>
      </c>
      <c r="AY64" s="129"/>
      <c r="AZ64" s="130"/>
      <c r="BA64" s="130"/>
      <c r="BB64" s="130"/>
      <c r="BC64" s="130"/>
      <c r="BD64" s="130"/>
      <c r="BE64" s="130"/>
      <c r="BF64" s="130"/>
      <c r="BG64" s="127">
        <f t="shared" si="131"/>
        <v>0</v>
      </c>
      <c r="BI64" s="69" t="str">
        <f>IF(OR(K64&lt;0,W64&lt;0,AI64&lt;0,AU64&lt;0,BG64&lt;0),"!! Total must be &gt;= sum by situation",IF(OR(C64&lt;SUM(O64,AA64,AM64,AY64),D64&lt;SUM(P64,AB64,AN64,AZ64),E64&lt;SUM(Q64,AC64,AO64,BA64),F64&lt;SUM(R64,AD64,AP64,BB64),G64&lt;SUM(S64,AE64,AQ64,BC64),H64&lt;SUM(T64,AF64,AR64,BD64),I64&lt;SUM(U64,AG64,AS64,BE64),J64&lt;SUM(V64,AH64,AT64,BF64)),"!! Values in FU1 must be &gt;= sum of values in FU2 - FU5",""))</f>
        <v/>
      </c>
      <c r="BK64" s="246"/>
    </row>
    <row r="65" spans="1:63" x14ac:dyDescent="0.35">
      <c r="A65" s="2"/>
      <c r="B65" s="6" t="s">
        <v>7</v>
      </c>
      <c r="C65" s="129"/>
      <c r="D65" s="130"/>
      <c r="E65" s="130"/>
      <c r="F65" s="130"/>
      <c r="G65" s="130"/>
      <c r="H65" s="130"/>
      <c r="I65" s="130"/>
      <c r="J65" s="130"/>
      <c r="K65" s="127">
        <f t="shared" si="127"/>
        <v>0</v>
      </c>
      <c r="M65" s="2"/>
      <c r="N65" s="6" t="s">
        <v>7</v>
      </c>
      <c r="O65" s="129"/>
      <c r="P65" s="130"/>
      <c r="Q65" s="130"/>
      <c r="R65" s="130"/>
      <c r="S65" s="130"/>
      <c r="T65" s="130"/>
      <c r="U65" s="130"/>
      <c r="V65" s="130"/>
      <c r="W65" s="127">
        <f t="shared" si="128"/>
        <v>0</v>
      </c>
      <c r="Y65" s="2"/>
      <c r="Z65" s="6" t="s">
        <v>7</v>
      </c>
      <c r="AA65" s="129"/>
      <c r="AB65" s="130"/>
      <c r="AC65" s="130"/>
      <c r="AD65" s="130"/>
      <c r="AE65" s="130"/>
      <c r="AF65" s="130"/>
      <c r="AG65" s="130"/>
      <c r="AH65" s="130"/>
      <c r="AI65" s="127">
        <f t="shared" si="129"/>
        <v>0</v>
      </c>
      <c r="AK65" s="2"/>
      <c r="AL65" s="6" t="s">
        <v>7</v>
      </c>
      <c r="AM65" s="129"/>
      <c r="AN65" s="130"/>
      <c r="AO65" s="130"/>
      <c r="AP65" s="130"/>
      <c r="AQ65" s="130"/>
      <c r="AR65" s="130"/>
      <c r="AS65" s="130"/>
      <c r="AT65" s="130"/>
      <c r="AU65" s="127">
        <f t="shared" si="130"/>
        <v>0</v>
      </c>
      <c r="AW65" s="2"/>
      <c r="AX65" s="6" t="s">
        <v>7</v>
      </c>
      <c r="AY65" s="129"/>
      <c r="AZ65" s="130"/>
      <c r="BA65" s="130"/>
      <c r="BB65" s="130"/>
      <c r="BC65" s="130"/>
      <c r="BD65" s="130"/>
      <c r="BE65" s="130"/>
      <c r="BF65" s="130"/>
      <c r="BG65" s="127">
        <f t="shared" si="131"/>
        <v>0</v>
      </c>
      <c r="BI65" s="69" t="str">
        <f t="shared" ref="BI65:BI66" si="132">IF(OR(K65&lt;0,W65&lt;0,AI65&lt;0,AU65&lt;0,BG65&lt;0),"!! Total must be &gt;= sum by situation",IF(OR(C65&lt;SUM(O65,AA65,AM65,AY65),D65&lt;SUM(P65,AB65,AN65,AZ65),E65&lt;SUM(Q65,AC65,AO65,BA65),F65&lt;SUM(R65,AD65,AP65,BB65),G65&lt;SUM(S65,AE65,AQ65,BC65),H65&lt;SUM(T65,AF65,AR65,BD65),I65&lt;SUM(U65,AG65,AS65,BE65),J65&lt;SUM(V65,AH65,AT65,BF65)),"!! Values in FU1 must be &gt;= sum of values in FU2 - FU5",""))</f>
        <v/>
      </c>
      <c r="BK65" s="246"/>
    </row>
    <row r="66" spans="1:63" ht="15" thickBot="1" x14ac:dyDescent="0.4">
      <c r="A66" s="3"/>
      <c r="B66" s="7" t="s">
        <v>440</v>
      </c>
      <c r="C66" s="132"/>
      <c r="D66" s="133"/>
      <c r="E66" s="133"/>
      <c r="F66" s="133"/>
      <c r="G66" s="133"/>
      <c r="H66" s="133"/>
      <c r="I66" s="133"/>
      <c r="J66" s="133"/>
      <c r="K66" s="128">
        <f>C66-SUM(D66:G66,H66:I66,J66)</f>
        <v>0</v>
      </c>
      <c r="M66" s="3"/>
      <c r="N66" s="7" t="s">
        <v>440</v>
      </c>
      <c r="O66" s="132"/>
      <c r="P66" s="133"/>
      <c r="Q66" s="133"/>
      <c r="R66" s="133"/>
      <c r="S66" s="133"/>
      <c r="T66" s="133"/>
      <c r="U66" s="133"/>
      <c r="V66" s="133"/>
      <c r="W66" s="128">
        <f>O66-SUM(P66:S66,T66:U66,V66)</f>
        <v>0</v>
      </c>
      <c r="Y66" s="3"/>
      <c r="Z66" s="7" t="s">
        <v>440</v>
      </c>
      <c r="AA66" s="132"/>
      <c r="AB66" s="133"/>
      <c r="AC66" s="133"/>
      <c r="AD66" s="133"/>
      <c r="AE66" s="133"/>
      <c r="AF66" s="133"/>
      <c r="AG66" s="133"/>
      <c r="AH66" s="133"/>
      <c r="AI66" s="128">
        <f>AA66-SUM(AB66:AE66,AF66:AG66,AH66)</f>
        <v>0</v>
      </c>
      <c r="AK66" s="3"/>
      <c r="AL66" s="7" t="s">
        <v>440</v>
      </c>
      <c r="AM66" s="132"/>
      <c r="AN66" s="133"/>
      <c r="AO66" s="133"/>
      <c r="AP66" s="133"/>
      <c r="AQ66" s="133"/>
      <c r="AR66" s="133"/>
      <c r="AS66" s="133"/>
      <c r="AT66" s="133"/>
      <c r="AU66" s="128">
        <f>AM66-SUM(AN66:AQ66,AR66:AS66,AT66)</f>
        <v>0</v>
      </c>
      <c r="AW66" s="3"/>
      <c r="AX66" s="7" t="s">
        <v>440</v>
      </c>
      <c r="AY66" s="132"/>
      <c r="AZ66" s="133"/>
      <c r="BA66" s="133"/>
      <c r="BB66" s="133"/>
      <c r="BC66" s="133"/>
      <c r="BD66" s="133"/>
      <c r="BE66" s="133"/>
      <c r="BF66" s="133"/>
      <c r="BG66" s="128">
        <f>AY66-SUM(AZ66:BC66,BD66:BE66,BF66)</f>
        <v>0</v>
      </c>
      <c r="BI66" s="70" t="str">
        <f t="shared" si="132"/>
        <v/>
      </c>
      <c r="BK66" s="247"/>
    </row>
    <row r="67" spans="1:63" ht="15" thickTop="1" x14ac:dyDescent="0.35"/>
  </sheetData>
  <sheetProtection algorithmName="SHA-512" hashValue="2NVawIO0rnl6RIhwgGw+PQtKIE05T9v7a1S26g5uvgrrcrvjmEqdRwsQuVPk1NticXdVrxybCa63WJ924+TW7A==" saltValue="d5Hm24tsGtTpzSKmNhU1yg==" spinCount="100000" sheet="1" formatCells="0" formatColumns="0" formatRows="0"/>
  <mergeCells count="59">
    <mergeCell ref="BI14:BI16"/>
    <mergeCell ref="BK14:BK17"/>
    <mergeCell ref="BK18:BK66"/>
    <mergeCell ref="AH14:AH16"/>
    <mergeCell ref="AI14:AI16"/>
    <mergeCell ref="AR15:AR16"/>
    <mergeCell ref="AS15:AS16"/>
    <mergeCell ref="AZ15:BC15"/>
    <mergeCell ref="BF14:BF16"/>
    <mergeCell ref="BG14:BG16"/>
    <mergeCell ref="AT14:AT16"/>
    <mergeCell ref="AU14:AU16"/>
    <mergeCell ref="AZ14:BC14"/>
    <mergeCell ref="BD14:BE14"/>
    <mergeCell ref="BD15:BD16"/>
    <mergeCell ref="BE15:BE16"/>
    <mergeCell ref="AW13:AX16"/>
    <mergeCell ref="AY13:AY15"/>
    <mergeCell ref="AZ13:BG13"/>
    <mergeCell ref="M3:W7"/>
    <mergeCell ref="A12:K12"/>
    <mergeCell ref="M12:W12"/>
    <mergeCell ref="D15:G15"/>
    <mergeCell ref="H15:H16"/>
    <mergeCell ref="I15:I16"/>
    <mergeCell ref="P15:S15"/>
    <mergeCell ref="T15:T16"/>
    <mergeCell ref="U15:U16"/>
    <mergeCell ref="D14:G14"/>
    <mergeCell ref="H14:I14"/>
    <mergeCell ref="J14:J16"/>
    <mergeCell ref="K14:K16"/>
    <mergeCell ref="P14:S14"/>
    <mergeCell ref="T14:U14"/>
    <mergeCell ref="V14:V16"/>
    <mergeCell ref="Y12:AI12"/>
    <mergeCell ref="AK12:AU12"/>
    <mergeCell ref="AN15:AQ15"/>
    <mergeCell ref="AW12:BG12"/>
    <mergeCell ref="P13:W13"/>
    <mergeCell ref="W14:W16"/>
    <mergeCell ref="AB15:AE15"/>
    <mergeCell ref="AN14:AQ14"/>
    <mergeCell ref="AR14:AS14"/>
    <mergeCell ref="Y13:Z16"/>
    <mergeCell ref="AA13:AA15"/>
    <mergeCell ref="AB13:AI13"/>
    <mergeCell ref="AK13:AL16"/>
    <mergeCell ref="AM13:AM15"/>
    <mergeCell ref="AN13:AU13"/>
    <mergeCell ref="AB14:AE14"/>
    <mergeCell ref="AF14:AG14"/>
    <mergeCell ref="AF15:AF16"/>
    <mergeCell ref="AG15:AG16"/>
    <mergeCell ref="A13:B16"/>
    <mergeCell ref="C13:C15"/>
    <mergeCell ref="D13:K13"/>
    <mergeCell ref="M13:N16"/>
    <mergeCell ref="O13:O15"/>
  </mergeCells>
  <conditionalFormatting sqref="K19:K66">
    <cfRule type="expression" dxfId="9" priority="5">
      <formula>K19&lt;0</formula>
    </cfRule>
  </conditionalFormatting>
  <conditionalFormatting sqref="W19:W66">
    <cfRule type="expression" dxfId="8" priority="4">
      <formula>W19&lt;0</formula>
    </cfRule>
  </conditionalFormatting>
  <conditionalFormatting sqref="AI19:AI66">
    <cfRule type="expression" dxfId="7" priority="3">
      <formula>AI19&lt;0</formula>
    </cfRule>
  </conditionalFormatting>
  <conditionalFormatting sqref="AU19:AU66">
    <cfRule type="expression" dxfId="6" priority="2">
      <formula>AU19&lt;0</formula>
    </cfRule>
  </conditionalFormatting>
  <conditionalFormatting sqref="BG19:BG66">
    <cfRule type="expression" dxfId="5" priority="1">
      <formula>BG19&lt;0</formula>
    </cfRule>
  </conditionalFormatting>
  <pageMargins left="0.23622047244094491" right="0.23622047244094491" top="0.35433070866141736" bottom="0.55118110236220474" header="0.31496062992125984" footer="0.11811023622047245"/>
  <pageSetup paperSize="9" orientation="landscape" r:id="rId1"/>
  <headerFooter>
    <oddFooter>&amp;LYG monitoring (pilot)&amp;R&amp;A\&amp;P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K67"/>
  <sheetViews>
    <sheetView zoomScaleNormal="100" workbookViewId="0"/>
  </sheetViews>
  <sheetFormatPr defaultColWidth="9.1796875" defaultRowHeight="14.5" x14ac:dyDescent="0.35"/>
  <cols>
    <col min="1" max="1" width="2.26953125" customWidth="1"/>
    <col min="2" max="2" width="19.7265625" customWidth="1"/>
    <col min="3" max="3" width="9.7265625" customWidth="1"/>
    <col min="4" max="4" width="9.81640625" customWidth="1"/>
    <col min="5" max="5" width="10.1796875" customWidth="1"/>
    <col min="6" max="7" width="10.453125" customWidth="1"/>
    <col min="8" max="8" width="10" customWidth="1"/>
    <col min="9" max="9" width="9.1796875" bestFit="1" customWidth="1"/>
    <col min="10" max="10" width="9.81640625" customWidth="1"/>
    <col min="11" max="11" width="10.26953125" style="31" customWidth="1"/>
    <col min="13" max="13" width="2.26953125" customWidth="1"/>
    <col min="14" max="14" width="19.81640625" customWidth="1"/>
    <col min="15" max="15" width="10.81640625" customWidth="1"/>
    <col min="16" max="16" width="9.81640625" customWidth="1"/>
    <col min="17" max="17" width="10.1796875" customWidth="1"/>
    <col min="18" max="19" width="10.453125" customWidth="1"/>
    <col min="20" max="20" width="10" customWidth="1"/>
    <col min="21" max="21" width="9.1796875" bestFit="1" customWidth="1"/>
    <col min="22" max="22" width="10.1796875" customWidth="1"/>
    <col min="23" max="23" width="10.26953125" style="31" customWidth="1"/>
    <col min="25" max="25" width="2.26953125" customWidth="1"/>
    <col min="26" max="26" width="19.54296875" customWidth="1"/>
    <col min="27" max="27" width="9.7265625" customWidth="1"/>
    <col min="28" max="28" width="9.81640625" customWidth="1"/>
    <col min="29" max="29" width="10.1796875" customWidth="1"/>
    <col min="30" max="30" width="10.7265625" customWidth="1"/>
    <col min="31" max="31" width="9.54296875" customWidth="1"/>
    <col min="32" max="32" width="10" customWidth="1"/>
    <col min="33" max="33" width="9.1796875" bestFit="1" customWidth="1"/>
    <col min="34" max="34" width="10.1796875" customWidth="1"/>
    <col min="35" max="35" width="10.26953125" style="31" customWidth="1"/>
    <col min="37" max="37" width="2.26953125" customWidth="1"/>
    <col min="38" max="38" width="20" customWidth="1"/>
    <col min="39" max="39" width="11.453125" customWidth="1"/>
    <col min="40" max="40" width="9.81640625" customWidth="1"/>
    <col min="41" max="41" width="10.1796875" customWidth="1"/>
    <col min="42" max="43" width="10.453125" customWidth="1"/>
    <col min="44" max="44" width="10" customWidth="1"/>
    <col min="45" max="45" width="9.1796875" bestFit="1" customWidth="1"/>
    <col min="46" max="46" width="9.81640625" customWidth="1"/>
    <col min="47" max="47" width="10.26953125" style="31" customWidth="1"/>
    <col min="49" max="49" width="2.26953125" customWidth="1"/>
    <col min="50" max="50" width="19.81640625" customWidth="1"/>
    <col min="51" max="51" width="10.81640625" customWidth="1"/>
    <col min="52" max="52" width="9.81640625" customWidth="1"/>
    <col min="53" max="53" width="10.1796875" customWidth="1"/>
    <col min="54" max="55" width="10.453125" customWidth="1"/>
    <col min="56" max="56" width="10" customWidth="1"/>
    <col min="57" max="57" width="9.1796875" bestFit="1" customWidth="1"/>
    <col min="58" max="58" width="9.81640625" customWidth="1"/>
    <col min="59" max="59" width="10.26953125" style="31" customWidth="1"/>
    <col min="60" max="60" width="3.54296875" customWidth="1"/>
    <col min="61" max="61" width="49.26953125" style="67" customWidth="1"/>
    <col min="62" max="62" width="3.7265625" customWidth="1"/>
    <col min="63" max="63" width="36.54296875" customWidth="1"/>
  </cols>
  <sheetData>
    <row r="1" spans="1:63" s="11" customFormat="1" ht="18.5" x14ac:dyDescent="0.45">
      <c r="A1" s="12" t="s">
        <v>254</v>
      </c>
      <c r="K1" s="30"/>
      <c r="M1" s="12"/>
      <c r="W1" s="30"/>
      <c r="Y1" s="12"/>
      <c r="AI1" s="30"/>
      <c r="AK1" s="12"/>
      <c r="AU1" s="30"/>
      <c r="AW1" s="12"/>
      <c r="BG1" s="30"/>
      <c r="BI1" s="66"/>
    </row>
    <row r="2" spans="1:63" ht="15" thickBot="1" x14ac:dyDescent="0.4">
      <c r="A2" s="1"/>
      <c r="B2" s="63"/>
    </row>
    <row r="3" spans="1:63" ht="18.5" x14ac:dyDescent="0.45">
      <c r="A3" s="94" t="s">
        <v>177</v>
      </c>
      <c r="B3" s="95"/>
      <c r="C3" s="95"/>
      <c r="D3" s="95"/>
      <c r="E3" s="95"/>
      <c r="F3" s="98">
        <f>RefYear_Main-2</f>
        <v>2023</v>
      </c>
      <c r="G3" s="96"/>
      <c r="H3" s="96"/>
      <c r="I3" s="96"/>
      <c r="J3" s="96"/>
      <c r="K3" s="97"/>
      <c r="M3" s="350" t="s">
        <v>195</v>
      </c>
      <c r="N3" s="351"/>
      <c r="O3" s="351"/>
      <c r="P3" s="351"/>
      <c r="Q3" s="351"/>
      <c r="R3" s="351"/>
      <c r="S3" s="351"/>
      <c r="T3" s="351"/>
      <c r="U3" s="351"/>
      <c r="V3" s="351"/>
      <c r="W3" s="352"/>
      <c r="BH3" s="90"/>
      <c r="BI3" s="90"/>
    </row>
    <row r="4" spans="1:63" ht="18.5" x14ac:dyDescent="0.45">
      <c r="A4" s="135" t="s">
        <v>221</v>
      </c>
      <c r="B4" s="76"/>
      <c r="C4" s="76"/>
      <c r="D4" s="76"/>
      <c r="E4" s="76"/>
      <c r="F4" s="76"/>
      <c r="G4" s="76"/>
      <c r="H4" s="76"/>
      <c r="I4" s="76"/>
      <c r="J4" s="76"/>
      <c r="K4" s="78"/>
      <c r="M4" s="353"/>
      <c r="N4" s="354"/>
      <c r="O4" s="354"/>
      <c r="P4" s="354"/>
      <c r="Q4" s="354"/>
      <c r="R4" s="354"/>
      <c r="S4" s="354"/>
      <c r="T4" s="354"/>
      <c r="U4" s="354"/>
      <c r="V4" s="354"/>
      <c r="W4" s="355"/>
      <c r="BH4" s="90"/>
      <c r="BI4" s="90"/>
    </row>
    <row r="5" spans="1:63" ht="18.5" x14ac:dyDescent="0.45">
      <c r="A5" s="77"/>
      <c r="B5" s="76" t="s">
        <v>178</v>
      </c>
      <c r="C5" s="158" t="str">
        <f ca="1">IF(12*(YEAR(NOW())-$F$3)+MONTH(NOW())&lt;7,"Partial (some ""Not applicable"")","Yes")</f>
        <v>Yes</v>
      </c>
      <c r="D5" s="76"/>
      <c r="E5" s="76"/>
      <c r="F5" s="76"/>
      <c r="G5" s="76"/>
      <c r="H5" s="76"/>
      <c r="I5" s="76"/>
      <c r="J5" s="76"/>
      <c r="K5" s="78"/>
      <c r="M5" s="353"/>
      <c r="N5" s="354"/>
      <c r="O5" s="354"/>
      <c r="P5" s="354"/>
      <c r="Q5" s="354"/>
      <c r="R5" s="354"/>
      <c r="S5" s="354"/>
      <c r="T5" s="354"/>
      <c r="U5" s="354"/>
      <c r="V5" s="354"/>
      <c r="W5" s="355"/>
      <c r="BH5" s="90"/>
      <c r="BI5" s="90"/>
    </row>
    <row r="6" spans="1:63" x14ac:dyDescent="0.35">
      <c r="A6" s="77"/>
      <c r="B6" s="76" t="s">
        <v>179</v>
      </c>
      <c r="C6" s="158" t="str">
        <f ca="1">IF(12*(YEAR(NOW())-$F$3)+MONTH(NOW())&lt;13,"Partial (some ""Not applicable"")","Yes")</f>
        <v>Yes</v>
      </c>
      <c r="D6" s="76"/>
      <c r="E6" s="76"/>
      <c r="F6" s="76"/>
      <c r="G6" s="76"/>
      <c r="H6" s="76"/>
      <c r="I6" s="76"/>
      <c r="J6" s="76"/>
      <c r="K6" s="78"/>
      <c r="M6" s="353"/>
      <c r="N6" s="354"/>
      <c r="O6" s="354"/>
      <c r="P6" s="354"/>
      <c r="Q6" s="354"/>
      <c r="R6" s="354"/>
      <c r="S6" s="354"/>
      <c r="T6" s="354"/>
      <c r="U6" s="354"/>
      <c r="V6" s="354"/>
      <c r="W6" s="355"/>
    </row>
    <row r="7" spans="1:63" ht="15" thickBot="1" x14ac:dyDescent="0.4">
      <c r="A7" s="79"/>
      <c r="B7" s="80" t="s">
        <v>180</v>
      </c>
      <c r="C7" s="157" t="str">
        <f ca="1">IF(12*(YEAR(NOW())-$F$3)+MONTH(NOW())&lt;19,"No", IF(12*(YEAR(NOW())-$F$3)+MONTH(NOW())&lt;31,"Partial (some ""Not applicable"")","Yes"))</f>
        <v>Yes</v>
      </c>
      <c r="D7" s="80"/>
      <c r="E7" s="80"/>
      <c r="F7" s="80"/>
      <c r="G7" s="80"/>
      <c r="H7" s="80"/>
      <c r="I7" s="80"/>
      <c r="J7" s="80"/>
      <c r="K7" s="81"/>
      <c r="M7" s="356"/>
      <c r="N7" s="357"/>
      <c r="O7" s="357"/>
      <c r="P7" s="357"/>
      <c r="Q7" s="357"/>
      <c r="R7" s="357"/>
      <c r="S7" s="357"/>
      <c r="T7" s="357"/>
      <c r="U7" s="357"/>
      <c r="V7" s="357"/>
      <c r="W7" s="358"/>
      <c r="BH7" s="18"/>
    </row>
    <row r="8" spans="1:63" ht="15" thickBot="1" x14ac:dyDescent="0.4">
      <c r="A8" s="138"/>
      <c r="B8" s="138"/>
      <c r="C8" s="143"/>
      <c r="D8" s="138"/>
      <c r="E8" s="138"/>
      <c r="F8" s="138"/>
      <c r="G8" s="138"/>
      <c r="H8" s="138"/>
      <c r="I8" s="138"/>
      <c r="J8" s="138"/>
      <c r="K8" s="144"/>
      <c r="M8" s="145"/>
      <c r="N8" s="145"/>
      <c r="O8" s="145"/>
      <c r="P8" s="145"/>
      <c r="Q8" s="145"/>
      <c r="R8" s="145"/>
      <c r="S8" s="145"/>
      <c r="T8" s="145"/>
      <c r="U8" s="145"/>
      <c r="V8" s="145"/>
      <c r="W8" s="145"/>
      <c r="AI8" s="146"/>
      <c r="AU8" s="146"/>
      <c r="BG8" s="146"/>
      <c r="BH8" s="18"/>
      <c r="BI8"/>
    </row>
    <row r="9" spans="1:63" s="90" customFormat="1" ht="18.5" x14ac:dyDescent="0.45">
      <c r="A9" s="150" t="s">
        <v>232</v>
      </c>
      <c r="B9" s="151"/>
      <c r="C9" s="151"/>
      <c r="D9" s="152"/>
      <c r="E9" s="151"/>
      <c r="F9" s="151"/>
      <c r="G9" s="151"/>
      <c r="H9" s="151"/>
      <c r="I9" s="151"/>
      <c r="J9" s="151"/>
      <c r="K9" s="153"/>
      <c r="BH9" s="18"/>
    </row>
    <row r="10" spans="1:63" s="90" customFormat="1" ht="19" thickBot="1" x14ac:dyDescent="0.5">
      <c r="A10" s="159" t="s">
        <v>233</v>
      </c>
      <c r="B10" s="154"/>
      <c r="C10" s="154"/>
      <c r="D10" s="155"/>
      <c r="E10" s="154"/>
      <c r="F10" s="154"/>
      <c r="G10" s="154"/>
      <c r="H10" s="154"/>
      <c r="I10" s="154"/>
      <c r="J10" s="154"/>
      <c r="K10" s="156"/>
      <c r="BH10" s="20"/>
    </row>
    <row r="11" spans="1:63" x14ac:dyDescent="0.35">
      <c r="A11" s="148"/>
      <c r="B11" s="148"/>
      <c r="C11" s="148"/>
      <c r="D11" s="149"/>
      <c r="E11" s="148"/>
      <c r="F11" s="148"/>
      <c r="G11" s="148"/>
      <c r="H11" s="148"/>
      <c r="I11" s="148"/>
      <c r="J11" s="148"/>
      <c r="K11" s="148"/>
      <c r="W11" s="146"/>
      <c r="AI11" s="146"/>
      <c r="AU11" s="146"/>
      <c r="BG11" s="146"/>
      <c r="BI11"/>
    </row>
    <row r="12" spans="1:63" ht="31.5" customHeight="1" thickBot="1" x14ac:dyDescent="0.4">
      <c r="A12" s="347" t="s">
        <v>203</v>
      </c>
      <c r="B12" s="347"/>
      <c r="C12" s="347"/>
      <c r="D12" s="347"/>
      <c r="E12" s="347"/>
      <c r="F12" s="347"/>
      <c r="G12" s="347"/>
      <c r="H12" s="347"/>
      <c r="I12" s="347"/>
      <c r="J12" s="347"/>
      <c r="K12" s="347"/>
      <c r="M12" s="347" t="s">
        <v>204</v>
      </c>
      <c r="N12" s="347"/>
      <c r="O12" s="347"/>
      <c r="P12" s="347"/>
      <c r="Q12" s="347"/>
      <c r="R12" s="347"/>
      <c r="S12" s="347"/>
      <c r="T12" s="347"/>
      <c r="U12" s="347"/>
      <c r="V12" s="347"/>
      <c r="W12" s="347"/>
      <c r="Y12" s="347" t="s">
        <v>205</v>
      </c>
      <c r="Z12" s="347"/>
      <c r="AA12" s="347"/>
      <c r="AB12" s="347"/>
      <c r="AC12" s="347"/>
      <c r="AD12" s="347"/>
      <c r="AE12" s="347"/>
      <c r="AF12" s="347"/>
      <c r="AG12" s="347"/>
      <c r="AH12" s="347"/>
      <c r="AI12" s="347"/>
      <c r="AK12" s="347" t="s">
        <v>206</v>
      </c>
      <c r="AL12" s="347"/>
      <c r="AM12" s="347"/>
      <c r="AN12" s="347"/>
      <c r="AO12" s="347"/>
      <c r="AP12" s="347"/>
      <c r="AQ12" s="347"/>
      <c r="AR12" s="347"/>
      <c r="AS12" s="347"/>
      <c r="AT12" s="347"/>
      <c r="AU12" s="347"/>
      <c r="AW12" s="347" t="s">
        <v>207</v>
      </c>
      <c r="AX12" s="347"/>
      <c r="AY12" s="347"/>
      <c r="AZ12" s="347"/>
      <c r="BA12" s="347"/>
      <c r="BB12" s="347"/>
      <c r="BC12" s="347"/>
      <c r="BD12" s="347"/>
      <c r="BE12" s="347"/>
      <c r="BF12" s="347"/>
      <c r="BG12" s="347"/>
    </row>
    <row r="13" spans="1:63" s="18" customFormat="1" ht="15.75" customHeight="1" thickTop="1" x14ac:dyDescent="0.35">
      <c r="A13" s="244" t="s">
        <v>23</v>
      </c>
      <c r="B13" s="245"/>
      <c r="C13" s="332" t="s">
        <v>101</v>
      </c>
      <c r="D13" s="342" t="s">
        <v>165</v>
      </c>
      <c r="E13" s="342"/>
      <c r="F13" s="342"/>
      <c r="G13" s="342"/>
      <c r="H13" s="342"/>
      <c r="I13" s="343"/>
      <c r="J13" s="343"/>
      <c r="K13" s="344"/>
      <c r="M13" s="242" t="s">
        <v>23</v>
      </c>
      <c r="N13" s="243"/>
      <c r="O13" s="331" t="s">
        <v>169</v>
      </c>
      <c r="P13" s="342" t="s">
        <v>165</v>
      </c>
      <c r="Q13" s="342"/>
      <c r="R13" s="342"/>
      <c r="S13" s="342"/>
      <c r="T13" s="342"/>
      <c r="U13" s="343"/>
      <c r="V13" s="343"/>
      <c r="W13" s="344"/>
      <c r="Y13" s="242" t="s">
        <v>23</v>
      </c>
      <c r="Z13" s="243"/>
      <c r="AA13" s="331" t="s">
        <v>168</v>
      </c>
      <c r="AB13" s="342" t="s">
        <v>165</v>
      </c>
      <c r="AC13" s="342"/>
      <c r="AD13" s="342"/>
      <c r="AE13" s="342"/>
      <c r="AF13" s="342"/>
      <c r="AG13" s="343"/>
      <c r="AH13" s="343"/>
      <c r="AI13" s="344"/>
      <c r="AK13" s="242" t="s">
        <v>23</v>
      </c>
      <c r="AL13" s="243"/>
      <c r="AM13" s="331" t="s">
        <v>167</v>
      </c>
      <c r="AN13" s="342" t="s">
        <v>165</v>
      </c>
      <c r="AO13" s="342"/>
      <c r="AP13" s="342"/>
      <c r="AQ13" s="342"/>
      <c r="AR13" s="342"/>
      <c r="AS13" s="343"/>
      <c r="AT13" s="343"/>
      <c r="AU13" s="344"/>
      <c r="AW13" s="242" t="s">
        <v>23</v>
      </c>
      <c r="AX13" s="243"/>
      <c r="AY13" s="331" t="s">
        <v>166</v>
      </c>
      <c r="AZ13" s="342" t="s">
        <v>165</v>
      </c>
      <c r="BA13" s="342"/>
      <c r="BB13" s="342"/>
      <c r="BC13" s="342"/>
      <c r="BD13" s="342"/>
      <c r="BE13" s="343"/>
      <c r="BF13" s="343"/>
      <c r="BG13" s="344"/>
      <c r="BH13"/>
      <c r="BI13" s="65" t="s">
        <v>121</v>
      </c>
      <c r="BK13" s="72" t="s">
        <v>122</v>
      </c>
    </row>
    <row r="14" spans="1:63" s="18" customFormat="1" ht="15" customHeight="1" x14ac:dyDescent="0.35">
      <c r="A14" s="244"/>
      <c r="B14" s="245"/>
      <c r="C14" s="332"/>
      <c r="D14" s="327" t="s">
        <v>164</v>
      </c>
      <c r="E14" s="327"/>
      <c r="F14" s="327"/>
      <c r="G14" s="327"/>
      <c r="H14" s="335" t="s">
        <v>98</v>
      </c>
      <c r="I14" s="336"/>
      <c r="J14" s="348" t="s">
        <v>231</v>
      </c>
      <c r="K14" s="337" t="s">
        <v>21</v>
      </c>
      <c r="M14" s="244"/>
      <c r="N14" s="245"/>
      <c r="O14" s="332"/>
      <c r="P14" s="327" t="s">
        <v>164</v>
      </c>
      <c r="Q14" s="327"/>
      <c r="R14" s="327"/>
      <c r="S14" s="327"/>
      <c r="T14" s="335" t="s">
        <v>98</v>
      </c>
      <c r="U14" s="336"/>
      <c r="V14" s="348" t="s">
        <v>231</v>
      </c>
      <c r="W14" s="337" t="s">
        <v>21</v>
      </c>
      <c r="Y14" s="244"/>
      <c r="Z14" s="245"/>
      <c r="AA14" s="332"/>
      <c r="AB14" s="327" t="s">
        <v>164</v>
      </c>
      <c r="AC14" s="327"/>
      <c r="AD14" s="327"/>
      <c r="AE14" s="327"/>
      <c r="AF14" s="335" t="s">
        <v>98</v>
      </c>
      <c r="AG14" s="336"/>
      <c r="AH14" s="348" t="s">
        <v>231</v>
      </c>
      <c r="AI14" s="337" t="s">
        <v>21</v>
      </c>
      <c r="AK14" s="244"/>
      <c r="AL14" s="245"/>
      <c r="AM14" s="332"/>
      <c r="AN14" s="327" t="s">
        <v>164</v>
      </c>
      <c r="AO14" s="327"/>
      <c r="AP14" s="327"/>
      <c r="AQ14" s="327"/>
      <c r="AR14" s="335" t="s">
        <v>98</v>
      </c>
      <c r="AS14" s="336"/>
      <c r="AT14" s="348" t="s">
        <v>231</v>
      </c>
      <c r="AU14" s="337" t="s">
        <v>21</v>
      </c>
      <c r="AW14" s="244"/>
      <c r="AX14" s="245"/>
      <c r="AY14" s="332"/>
      <c r="AZ14" s="327" t="s">
        <v>164</v>
      </c>
      <c r="BA14" s="327"/>
      <c r="BB14" s="327"/>
      <c r="BC14" s="327"/>
      <c r="BD14" s="335" t="s">
        <v>98</v>
      </c>
      <c r="BE14" s="336"/>
      <c r="BF14" s="348" t="s">
        <v>231</v>
      </c>
      <c r="BG14" s="345" t="s">
        <v>21</v>
      </c>
      <c r="BH14"/>
      <c r="BI14" s="325" t="s">
        <v>171</v>
      </c>
      <c r="BK14" s="359" t="s">
        <v>123</v>
      </c>
    </row>
    <row r="15" spans="1:63" s="18" customFormat="1" ht="15" customHeight="1" x14ac:dyDescent="0.35">
      <c r="A15" s="244"/>
      <c r="B15" s="245"/>
      <c r="C15" s="333"/>
      <c r="D15" s="327" t="s">
        <v>3</v>
      </c>
      <c r="E15" s="327"/>
      <c r="F15" s="327"/>
      <c r="G15" s="327"/>
      <c r="H15" s="340" t="s">
        <v>113</v>
      </c>
      <c r="I15" s="340" t="s">
        <v>114</v>
      </c>
      <c r="J15" s="349"/>
      <c r="K15" s="338"/>
      <c r="M15" s="244"/>
      <c r="N15" s="245"/>
      <c r="O15" s="333"/>
      <c r="P15" s="327" t="s">
        <v>3</v>
      </c>
      <c r="Q15" s="327"/>
      <c r="R15" s="327"/>
      <c r="S15" s="327"/>
      <c r="T15" s="340" t="s">
        <v>113</v>
      </c>
      <c r="U15" s="340" t="s">
        <v>114</v>
      </c>
      <c r="V15" s="349"/>
      <c r="W15" s="338"/>
      <c r="Y15" s="244"/>
      <c r="Z15" s="245"/>
      <c r="AA15" s="333"/>
      <c r="AB15" s="327" t="s">
        <v>3</v>
      </c>
      <c r="AC15" s="327"/>
      <c r="AD15" s="327"/>
      <c r="AE15" s="327"/>
      <c r="AF15" s="340" t="s">
        <v>113</v>
      </c>
      <c r="AG15" s="340" t="s">
        <v>114</v>
      </c>
      <c r="AH15" s="349"/>
      <c r="AI15" s="338"/>
      <c r="AK15" s="244"/>
      <c r="AL15" s="245"/>
      <c r="AM15" s="333"/>
      <c r="AN15" s="327" t="s">
        <v>3</v>
      </c>
      <c r="AO15" s="327"/>
      <c r="AP15" s="327"/>
      <c r="AQ15" s="327"/>
      <c r="AR15" s="340" t="s">
        <v>113</v>
      </c>
      <c r="AS15" s="340" t="s">
        <v>114</v>
      </c>
      <c r="AT15" s="349"/>
      <c r="AU15" s="338"/>
      <c r="AW15" s="244"/>
      <c r="AX15" s="245"/>
      <c r="AY15" s="333"/>
      <c r="AZ15" s="327" t="s">
        <v>3</v>
      </c>
      <c r="BA15" s="327"/>
      <c r="BB15" s="327"/>
      <c r="BC15" s="327"/>
      <c r="BD15" s="340" t="s">
        <v>113</v>
      </c>
      <c r="BE15" s="340" t="s">
        <v>114</v>
      </c>
      <c r="BF15" s="349"/>
      <c r="BG15" s="346"/>
      <c r="BH15"/>
      <c r="BI15" s="325"/>
      <c r="BK15" s="359"/>
    </row>
    <row r="16" spans="1:63" s="20" customFormat="1" ht="15" thickBot="1" x14ac:dyDescent="0.4">
      <c r="A16" s="244"/>
      <c r="B16" s="245"/>
      <c r="C16" s="19" t="s">
        <v>3</v>
      </c>
      <c r="D16" s="33" t="s">
        <v>109</v>
      </c>
      <c r="E16" s="33" t="s">
        <v>110</v>
      </c>
      <c r="F16" s="33" t="s">
        <v>111</v>
      </c>
      <c r="G16" s="33" t="s">
        <v>112</v>
      </c>
      <c r="H16" s="340"/>
      <c r="I16" s="340"/>
      <c r="J16" s="349"/>
      <c r="K16" s="338"/>
      <c r="M16" s="244"/>
      <c r="N16" s="245"/>
      <c r="O16" s="19" t="s">
        <v>3</v>
      </c>
      <c r="P16" s="33" t="s">
        <v>109</v>
      </c>
      <c r="Q16" s="33" t="s">
        <v>110</v>
      </c>
      <c r="R16" s="33" t="s">
        <v>111</v>
      </c>
      <c r="S16" s="33" t="s">
        <v>112</v>
      </c>
      <c r="T16" s="340"/>
      <c r="U16" s="340"/>
      <c r="V16" s="349"/>
      <c r="W16" s="338"/>
      <c r="Y16" s="244"/>
      <c r="Z16" s="245"/>
      <c r="AA16" s="19" t="s">
        <v>3</v>
      </c>
      <c r="AB16" s="33" t="s">
        <v>109</v>
      </c>
      <c r="AC16" s="33" t="s">
        <v>110</v>
      </c>
      <c r="AD16" s="33" t="s">
        <v>111</v>
      </c>
      <c r="AE16" s="33" t="s">
        <v>112</v>
      </c>
      <c r="AF16" s="340"/>
      <c r="AG16" s="340"/>
      <c r="AH16" s="349"/>
      <c r="AI16" s="338"/>
      <c r="AK16" s="244"/>
      <c r="AL16" s="245"/>
      <c r="AM16" s="19" t="s">
        <v>3</v>
      </c>
      <c r="AN16" s="33" t="s">
        <v>109</v>
      </c>
      <c r="AO16" s="33" t="s">
        <v>110</v>
      </c>
      <c r="AP16" s="33" t="s">
        <v>111</v>
      </c>
      <c r="AQ16" s="33" t="s">
        <v>112</v>
      </c>
      <c r="AR16" s="340"/>
      <c r="AS16" s="340"/>
      <c r="AT16" s="349"/>
      <c r="AU16" s="338"/>
      <c r="AW16" s="244"/>
      <c r="AX16" s="245"/>
      <c r="AY16" s="19" t="s">
        <v>3</v>
      </c>
      <c r="AZ16" s="33" t="s">
        <v>109</v>
      </c>
      <c r="BA16" s="33" t="s">
        <v>110</v>
      </c>
      <c r="BB16" s="33" t="s">
        <v>111</v>
      </c>
      <c r="BC16" s="33" t="s">
        <v>112</v>
      </c>
      <c r="BD16" s="340"/>
      <c r="BE16" s="340"/>
      <c r="BF16" s="349"/>
      <c r="BG16" s="346"/>
      <c r="BH16"/>
      <c r="BI16" s="339"/>
      <c r="BK16" s="359"/>
    </row>
    <row r="17" spans="1:63" ht="15" thickBot="1" x14ac:dyDescent="0.4">
      <c r="A17" s="21" t="s">
        <v>163</v>
      </c>
      <c r="B17" s="22"/>
      <c r="C17" s="217"/>
      <c r="D17" s="24"/>
      <c r="E17" s="25"/>
      <c r="F17" s="25"/>
      <c r="G17" s="25"/>
      <c r="H17" s="25"/>
      <c r="I17" s="25"/>
      <c r="J17" s="25"/>
      <c r="K17" s="32"/>
      <c r="M17" s="21" t="s">
        <v>163</v>
      </c>
      <c r="N17" s="22"/>
      <c r="O17" s="217"/>
      <c r="P17" s="24"/>
      <c r="Q17" s="25"/>
      <c r="R17" s="25"/>
      <c r="S17" s="25"/>
      <c r="T17" s="25"/>
      <c r="U17" s="25"/>
      <c r="V17" s="25"/>
      <c r="W17" s="32"/>
      <c r="Y17" s="21" t="s">
        <v>163</v>
      </c>
      <c r="Z17" s="22"/>
      <c r="AA17" s="217"/>
      <c r="AB17" s="24"/>
      <c r="AC17" s="25"/>
      <c r="AD17" s="25"/>
      <c r="AE17" s="25"/>
      <c r="AF17" s="25"/>
      <c r="AG17" s="25"/>
      <c r="AH17" s="25"/>
      <c r="AI17" s="32"/>
      <c r="AK17" s="21" t="s">
        <v>163</v>
      </c>
      <c r="AL17" s="22"/>
      <c r="AM17" s="217"/>
      <c r="AN17" s="24"/>
      <c r="AO17" s="25"/>
      <c r="AP17" s="25"/>
      <c r="AQ17" s="25"/>
      <c r="AR17" s="25"/>
      <c r="AS17" s="25"/>
      <c r="AT17" s="25"/>
      <c r="AU17" s="32"/>
      <c r="AW17" s="21" t="s">
        <v>163</v>
      </c>
      <c r="AX17" s="22"/>
      <c r="AY17" s="23"/>
      <c r="AZ17" s="24"/>
      <c r="BA17" s="25"/>
      <c r="BB17" s="25"/>
      <c r="BC17" s="25"/>
      <c r="BD17" s="25"/>
      <c r="BE17" s="25"/>
      <c r="BF17" s="25"/>
      <c r="BG17" s="32"/>
      <c r="BI17" s="205"/>
      <c r="BK17" s="360"/>
    </row>
    <row r="18" spans="1:63" x14ac:dyDescent="0.35">
      <c r="A18" s="224" t="s">
        <v>106</v>
      </c>
      <c r="B18" s="220"/>
      <c r="C18" s="212" t="s">
        <v>3</v>
      </c>
      <c r="D18" s="221" t="s">
        <v>15</v>
      </c>
      <c r="E18" s="221" t="s">
        <v>16</v>
      </c>
      <c r="F18" s="221" t="s">
        <v>17</v>
      </c>
      <c r="G18" s="221" t="s">
        <v>18</v>
      </c>
      <c r="H18" s="221" t="s">
        <v>20</v>
      </c>
      <c r="I18" s="222" t="s">
        <v>100</v>
      </c>
      <c r="J18" s="222" t="s">
        <v>231</v>
      </c>
      <c r="K18" s="223" t="s">
        <v>21</v>
      </c>
      <c r="M18" s="224" t="s">
        <v>106</v>
      </c>
      <c r="N18" s="220"/>
      <c r="O18" s="212" t="s">
        <v>3</v>
      </c>
      <c r="P18" s="221" t="s">
        <v>15</v>
      </c>
      <c r="Q18" s="221" t="s">
        <v>16</v>
      </c>
      <c r="R18" s="221" t="s">
        <v>17</v>
      </c>
      <c r="S18" s="221" t="s">
        <v>18</v>
      </c>
      <c r="T18" s="221" t="s">
        <v>20</v>
      </c>
      <c r="U18" s="222" t="s">
        <v>100</v>
      </c>
      <c r="V18" s="222" t="s">
        <v>231</v>
      </c>
      <c r="W18" s="223" t="s">
        <v>21</v>
      </c>
      <c r="Y18" s="224" t="s">
        <v>106</v>
      </c>
      <c r="Z18" s="220"/>
      <c r="AA18" s="212" t="s">
        <v>3</v>
      </c>
      <c r="AB18" s="221" t="s">
        <v>15</v>
      </c>
      <c r="AC18" s="221" t="s">
        <v>16</v>
      </c>
      <c r="AD18" s="221" t="s">
        <v>17</v>
      </c>
      <c r="AE18" s="221" t="s">
        <v>18</v>
      </c>
      <c r="AF18" s="221" t="s">
        <v>20</v>
      </c>
      <c r="AG18" s="222" t="s">
        <v>100</v>
      </c>
      <c r="AH18" s="222" t="s">
        <v>231</v>
      </c>
      <c r="AI18" s="223" t="s">
        <v>21</v>
      </c>
      <c r="AK18" s="224" t="s">
        <v>106</v>
      </c>
      <c r="AL18" s="220"/>
      <c r="AM18" s="212" t="s">
        <v>3</v>
      </c>
      <c r="AN18" s="221" t="s">
        <v>15</v>
      </c>
      <c r="AO18" s="221" t="s">
        <v>16</v>
      </c>
      <c r="AP18" s="221" t="s">
        <v>17</v>
      </c>
      <c r="AQ18" s="221" t="s">
        <v>18</v>
      </c>
      <c r="AR18" s="221" t="s">
        <v>20</v>
      </c>
      <c r="AS18" s="222" t="s">
        <v>100</v>
      </c>
      <c r="AT18" s="222" t="s">
        <v>231</v>
      </c>
      <c r="AU18" s="223" t="s">
        <v>21</v>
      </c>
      <c r="AW18" s="224" t="s">
        <v>106</v>
      </c>
      <c r="AX18" s="220"/>
      <c r="AY18" s="212" t="s">
        <v>3</v>
      </c>
      <c r="AZ18" s="221" t="s">
        <v>15</v>
      </c>
      <c r="BA18" s="221" t="s">
        <v>16</v>
      </c>
      <c r="BB18" s="221" t="s">
        <v>17</v>
      </c>
      <c r="BC18" s="221" t="s">
        <v>18</v>
      </c>
      <c r="BD18" s="221" t="s">
        <v>20</v>
      </c>
      <c r="BE18" s="222" t="s">
        <v>100</v>
      </c>
      <c r="BF18" s="222" t="s">
        <v>231</v>
      </c>
      <c r="BG18" s="223" t="s">
        <v>21</v>
      </c>
      <c r="BI18" s="69" t="str" cm="1">
        <f t="array" ref="BI18">IF(OR(SUM(IF(O19:W22&lt;(O24:W27+O29:W32),1,0)),SUM(IF(C19:K22&lt;(C24:K27+C29:K32),1,0)),SUM(IF(AA19:AI22&lt;(AA24:AI27+AA29:AI32),1,0)), SUM(IF(AM19:AU22&lt;(AM24:AU27+AM29:AU32),1,0)), SUM(IF(AY19:BG22&lt;(AY24:BG27+AY29:BG32),1,0))),"!! Check sum by sex for one or more columns/rows","")</f>
        <v/>
      </c>
      <c r="BK18" s="341"/>
    </row>
    <row r="19" spans="1:63" x14ac:dyDescent="0.35">
      <c r="A19" s="2"/>
      <c r="B19" s="6" t="s">
        <v>441</v>
      </c>
      <c r="C19" s="130"/>
      <c r="D19" s="130"/>
      <c r="E19" s="130"/>
      <c r="F19" s="130"/>
      <c r="G19" s="130"/>
      <c r="H19" s="130"/>
      <c r="I19" s="130"/>
      <c r="J19" s="130"/>
      <c r="K19" s="127">
        <f>C19-SUM(D19:G19,H19:I19,J19)</f>
        <v>0</v>
      </c>
      <c r="M19" s="2"/>
      <c r="N19" s="6" t="s">
        <v>441</v>
      </c>
      <c r="O19" s="130"/>
      <c r="P19" s="130"/>
      <c r="Q19" s="130"/>
      <c r="R19" s="130"/>
      <c r="S19" s="130"/>
      <c r="T19" s="130"/>
      <c r="U19" s="130"/>
      <c r="V19" s="130"/>
      <c r="W19" s="127">
        <f>O19-SUM(P19:S19,T19:U19,V19)</f>
        <v>0</v>
      </c>
      <c r="Y19" s="2"/>
      <c r="Z19" s="6" t="s">
        <v>441</v>
      </c>
      <c r="AA19" s="130"/>
      <c r="AB19" s="130"/>
      <c r="AC19" s="130"/>
      <c r="AD19" s="130"/>
      <c r="AE19" s="130"/>
      <c r="AF19" s="130"/>
      <c r="AG19" s="130"/>
      <c r="AH19" s="130"/>
      <c r="AI19" s="127">
        <f>AA19-SUM(AB19:AE19,AF19:AG19,AH19)</f>
        <v>0</v>
      </c>
      <c r="AK19" s="2"/>
      <c r="AL19" s="6" t="s">
        <v>441</v>
      </c>
      <c r="AM19" s="130"/>
      <c r="AN19" s="130"/>
      <c r="AO19" s="130"/>
      <c r="AP19" s="130"/>
      <c r="AQ19" s="130"/>
      <c r="AR19" s="130"/>
      <c r="AS19" s="225"/>
      <c r="AT19" s="130"/>
      <c r="AU19" s="127">
        <f>AM19-SUM(AN19:AQ19,AR19:AS19,AT19)</f>
        <v>0</v>
      </c>
      <c r="AW19" s="2"/>
      <c r="AX19" s="6" t="s">
        <v>441</v>
      </c>
      <c r="AY19" s="130"/>
      <c r="AZ19" s="130"/>
      <c r="BA19" s="130"/>
      <c r="BB19" s="130"/>
      <c r="BC19" s="130"/>
      <c r="BD19" s="130"/>
      <c r="BE19" s="130"/>
      <c r="BF19" s="130"/>
      <c r="BG19" s="127">
        <f>AY19-SUM(AZ19:BC19,BD19:BE19,BF19)</f>
        <v>0</v>
      </c>
      <c r="BI19" s="69" t="str">
        <f>IF(OR(K19&lt;0,W19&lt;0,AI19&lt;0,AU19&lt;0,BG19&lt;0),"!! Total must be &gt;= sum by situation",IF(OR(C19&lt;SUM(O19,AA19,AM19,AY19),D19&lt;SUM(P19,AB19,AN19,AZ19),E19&lt;SUM(Q19,AC19,AO19,BA19),F19&lt;SUM(R19,AD19,AP19,BB19),G19&lt;SUM(S19,AE19,AQ19,BC19),H19&lt;SUM(T19,AF19,AR19,BD19),I19&lt;SUM(U19,AG19,AS19,BE19),J19&lt;SUM(V19,AH19,AT19,BF19)),"!! Values in FU1 must be &gt;= sum of values in FU2 - FU5",""))</f>
        <v/>
      </c>
      <c r="BK19" s="246"/>
    </row>
    <row r="20" spans="1:63" x14ac:dyDescent="0.35">
      <c r="A20" s="2"/>
      <c r="B20" s="6" t="s">
        <v>6</v>
      </c>
      <c r="C20" s="130"/>
      <c r="D20" s="130"/>
      <c r="E20" s="130"/>
      <c r="F20" s="130"/>
      <c r="G20" s="130"/>
      <c r="H20" s="130"/>
      <c r="I20" s="130"/>
      <c r="J20" s="130"/>
      <c r="K20" s="127">
        <f t="shared" ref="K20:K22" si="0">C20-SUM(D20:G20,H20:I20,J20)</f>
        <v>0</v>
      </c>
      <c r="M20" s="2"/>
      <c r="N20" s="6" t="s">
        <v>6</v>
      </c>
      <c r="O20" s="130"/>
      <c r="P20" s="130"/>
      <c r="Q20" s="130"/>
      <c r="R20" s="130"/>
      <c r="S20" s="130"/>
      <c r="T20" s="130"/>
      <c r="U20" s="130"/>
      <c r="V20" s="130"/>
      <c r="W20" s="127">
        <f t="shared" ref="W20:W22" si="1">O20-SUM(P20:S20,T20:U20,V20)</f>
        <v>0</v>
      </c>
      <c r="Y20" s="2"/>
      <c r="Z20" s="6" t="s">
        <v>6</v>
      </c>
      <c r="AA20" s="130"/>
      <c r="AB20" s="130"/>
      <c r="AC20" s="130"/>
      <c r="AD20" s="130"/>
      <c r="AE20" s="130"/>
      <c r="AF20" s="130"/>
      <c r="AG20" s="130"/>
      <c r="AH20" s="130"/>
      <c r="AI20" s="127">
        <f t="shared" ref="AI20:AI22" si="2">AA20-SUM(AB20:AE20,AF20:AG20,AH20)</f>
        <v>0</v>
      </c>
      <c r="AK20" s="2"/>
      <c r="AL20" s="6" t="s">
        <v>6</v>
      </c>
      <c r="AM20" s="130"/>
      <c r="AN20" s="130"/>
      <c r="AO20" s="130"/>
      <c r="AP20" s="130"/>
      <c r="AQ20" s="130"/>
      <c r="AR20" s="130"/>
      <c r="AS20" s="225"/>
      <c r="AT20" s="130"/>
      <c r="AU20" s="127">
        <f t="shared" ref="AU20:AU22" si="3">AM20-SUM(AN20:AQ20,AR20:AS20,AT20)</f>
        <v>0</v>
      </c>
      <c r="AW20" s="2"/>
      <c r="AX20" s="6" t="s">
        <v>6</v>
      </c>
      <c r="AY20" s="130"/>
      <c r="AZ20" s="130"/>
      <c r="BA20" s="130"/>
      <c r="BB20" s="130"/>
      <c r="BC20" s="130"/>
      <c r="BD20" s="130"/>
      <c r="BE20" s="130"/>
      <c r="BF20" s="130"/>
      <c r="BG20" s="127">
        <f>AY20-SUM(AZ20:BC20,BD20:BE20,BF20)</f>
        <v>0</v>
      </c>
      <c r="BI20" s="69" t="str">
        <f>IF(OR(K20&lt;0,W20&lt;0,AI20&lt;0,AU20&lt;0,BG20&lt;0),"!! Total must be &gt;= sum by situation",IF(OR(C20&lt;SUM(O20,AA20,AM20,AY20),D20&lt;SUM(P20,AB20,AN20,AZ20),E20&lt;SUM(Q20,AC20,AO20,BA20),F20&lt;SUM(R20,AD20,AP20,BB20),G20&lt;SUM(S20,AE20,AQ20,BC20),H20&lt;SUM(T20,AF20,AR20,BD20),I20&lt;SUM(U20,AG20,AS20,BE20),J20&lt;SUM(V20,AH20,AT20,BF20)),"!! Values in FU1 must be &gt;= sum of values in FU2 - FU5",""))</f>
        <v/>
      </c>
      <c r="BK20" s="246"/>
    </row>
    <row r="21" spans="1:63" x14ac:dyDescent="0.35">
      <c r="A21" s="2"/>
      <c r="B21" s="6" t="s">
        <v>7</v>
      </c>
      <c r="C21" s="130"/>
      <c r="D21" s="130"/>
      <c r="E21" s="130"/>
      <c r="F21" s="130"/>
      <c r="G21" s="130"/>
      <c r="H21" s="130"/>
      <c r="I21" s="130"/>
      <c r="J21" s="130"/>
      <c r="K21" s="127">
        <f t="shared" si="0"/>
        <v>0</v>
      </c>
      <c r="M21" s="2"/>
      <c r="N21" s="6" t="s">
        <v>7</v>
      </c>
      <c r="O21" s="130"/>
      <c r="P21" s="130"/>
      <c r="Q21" s="130"/>
      <c r="R21" s="130"/>
      <c r="S21" s="130"/>
      <c r="T21" s="130"/>
      <c r="U21" s="130"/>
      <c r="V21" s="130"/>
      <c r="W21" s="127">
        <f t="shared" si="1"/>
        <v>0</v>
      </c>
      <c r="Y21" s="2"/>
      <c r="Z21" s="6" t="s">
        <v>7</v>
      </c>
      <c r="AA21" s="130"/>
      <c r="AB21" s="130"/>
      <c r="AC21" s="130"/>
      <c r="AD21" s="130"/>
      <c r="AE21" s="130"/>
      <c r="AF21" s="130"/>
      <c r="AG21" s="130"/>
      <c r="AH21" s="130"/>
      <c r="AI21" s="127">
        <f t="shared" si="2"/>
        <v>0</v>
      </c>
      <c r="AK21" s="2"/>
      <c r="AL21" s="6" t="s">
        <v>7</v>
      </c>
      <c r="AM21" s="130"/>
      <c r="AN21" s="130"/>
      <c r="AO21" s="130"/>
      <c r="AP21" s="130"/>
      <c r="AQ21" s="130"/>
      <c r="AR21" s="130"/>
      <c r="AS21" s="225"/>
      <c r="AT21" s="130"/>
      <c r="AU21" s="127">
        <f t="shared" si="3"/>
        <v>0</v>
      </c>
      <c r="AW21" s="2"/>
      <c r="AX21" s="6" t="s">
        <v>7</v>
      </c>
      <c r="AY21" s="130"/>
      <c r="AZ21" s="130"/>
      <c r="BA21" s="130"/>
      <c r="BB21" s="130"/>
      <c r="BC21" s="130"/>
      <c r="BD21" s="130"/>
      <c r="BE21" s="130"/>
      <c r="BF21" s="130"/>
      <c r="BG21" s="127">
        <f>AY21-SUM(AZ21:BC21,BD21:BE21,BF21)</f>
        <v>0</v>
      </c>
      <c r="BI21" s="69" t="str">
        <f t="shared" ref="BI21:BI22" si="4">IF(OR(K21&lt;0,W21&lt;0,AI21&lt;0,AU21&lt;0,BG21&lt;0),"!! Total must be &gt;= sum by situation",IF(OR(C21&lt;SUM(O21,AA21,AM21,AY21),D21&lt;SUM(P21,AB21,AN21,AZ21),E21&lt;SUM(Q21,AC21,AO21,BA21),F21&lt;SUM(R21,AD21,AP21,BB21),G21&lt;SUM(S21,AE21,AQ21,BC21),H21&lt;SUM(T21,AF21,AR21,BD21),I21&lt;SUM(U21,AG21,AS21,BE21),J21&lt;SUM(V21,AH21,AT21,BF21)),"!! Values in FU1 must be &gt;= sum of values in FU2 - FU5",""))</f>
        <v/>
      </c>
      <c r="BK21" s="246"/>
    </row>
    <row r="22" spans="1:63" x14ac:dyDescent="0.35">
      <c r="A22" s="2"/>
      <c r="B22" s="6" t="s">
        <v>440</v>
      </c>
      <c r="C22" s="130"/>
      <c r="D22" s="130"/>
      <c r="E22" s="130"/>
      <c r="F22" s="130"/>
      <c r="G22" s="130"/>
      <c r="H22" s="130"/>
      <c r="I22" s="130"/>
      <c r="J22" s="130"/>
      <c r="K22" s="127">
        <f t="shared" si="0"/>
        <v>0</v>
      </c>
      <c r="M22" s="2"/>
      <c r="N22" s="6" t="s">
        <v>440</v>
      </c>
      <c r="O22" s="130"/>
      <c r="P22" s="130"/>
      <c r="Q22" s="130"/>
      <c r="R22" s="130"/>
      <c r="S22" s="130"/>
      <c r="T22" s="130"/>
      <c r="U22" s="130"/>
      <c r="V22" s="130"/>
      <c r="W22" s="127">
        <f t="shared" si="1"/>
        <v>0</v>
      </c>
      <c r="Y22" s="2"/>
      <c r="Z22" s="6" t="s">
        <v>440</v>
      </c>
      <c r="AA22" s="130"/>
      <c r="AB22" s="130"/>
      <c r="AC22" s="130"/>
      <c r="AD22" s="130"/>
      <c r="AE22" s="130"/>
      <c r="AF22" s="130"/>
      <c r="AG22" s="130"/>
      <c r="AH22" s="130"/>
      <c r="AI22" s="127">
        <f t="shared" si="2"/>
        <v>0</v>
      </c>
      <c r="AK22" s="2"/>
      <c r="AL22" s="6" t="s">
        <v>440</v>
      </c>
      <c r="AM22" s="130"/>
      <c r="AN22" s="130"/>
      <c r="AO22" s="130"/>
      <c r="AP22" s="130"/>
      <c r="AQ22" s="130"/>
      <c r="AR22" s="130"/>
      <c r="AS22" s="225"/>
      <c r="AT22" s="130"/>
      <c r="AU22" s="127">
        <f t="shared" si="3"/>
        <v>0</v>
      </c>
      <c r="AW22" s="2"/>
      <c r="AX22" s="6" t="s">
        <v>440</v>
      </c>
      <c r="AY22" s="130"/>
      <c r="AZ22" s="130"/>
      <c r="BA22" s="130"/>
      <c r="BB22" s="130"/>
      <c r="BC22" s="130"/>
      <c r="BD22" s="130"/>
      <c r="BE22" s="130"/>
      <c r="BF22" s="130"/>
      <c r="BG22" s="127">
        <f>AY22-SUM(AZ22:BC22,BD22:BE22,BF22)</f>
        <v>0</v>
      </c>
      <c r="BI22" s="69" t="str">
        <f t="shared" si="4"/>
        <v/>
      </c>
      <c r="BK22" s="246"/>
    </row>
    <row r="23" spans="1:63" x14ac:dyDescent="0.35">
      <c r="A23" s="224" t="s">
        <v>4</v>
      </c>
      <c r="B23" s="220"/>
      <c r="C23" s="212" t="str">
        <f>C$18</f>
        <v>Total</v>
      </c>
      <c r="D23" s="221" t="str">
        <f>D$18</f>
        <v>Employment</v>
      </c>
      <c r="E23" s="221" t="str">
        <f t="shared" ref="E23:K23" si="5">E$18</f>
        <v>Education</v>
      </c>
      <c r="F23" s="221" t="str">
        <f t="shared" si="5"/>
        <v>Apprenticeship</v>
      </c>
      <c r="G23" s="221" t="str">
        <f t="shared" si="5"/>
        <v>Traineeship</v>
      </c>
      <c r="H23" s="221" t="str">
        <f t="shared" si="5"/>
        <v>Unemployment</v>
      </c>
      <c r="I23" s="221" t="str">
        <f t="shared" si="5"/>
        <v>Inactivity</v>
      </c>
      <c r="J23" s="221" t="str">
        <f t="shared" si="5"/>
        <v>Not applicable</v>
      </c>
      <c r="K23" s="223" t="str">
        <f t="shared" si="5"/>
        <v>Unknown</v>
      </c>
      <c r="M23" s="224" t="s">
        <v>4</v>
      </c>
      <c r="N23" s="220"/>
      <c r="O23" s="212" t="str">
        <f>O$18</f>
        <v>Total</v>
      </c>
      <c r="P23" s="221" t="str">
        <f>P$18</f>
        <v>Employment</v>
      </c>
      <c r="Q23" s="221" t="str">
        <f t="shared" ref="Q23:W23" si="6">Q$18</f>
        <v>Education</v>
      </c>
      <c r="R23" s="221" t="str">
        <f t="shared" si="6"/>
        <v>Apprenticeship</v>
      </c>
      <c r="S23" s="221" t="str">
        <f t="shared" si="6"/>
        <v>Traineeship</v>
      </c>
      <c r="T23" s="221" t="str">
        <f t="shared" si="6"/>
        <v>Unemployment</v>
      </c>
      <c r="U23" s="221" t="str">
        <f t="shared" si="6"/>
        <v>Inactivity</v>
      </c>
      <c r="V23" s="221" t="str">
        <f t="shared" si="6"/>
        <v>Not applicable</v>
      </c>
      <c r="W23" s="223" t="str">
        <f t="shared" si="6"/>
        <v>Unknown</v>
      </c>
      <c r="Y23" s="224" t="s">
        <v>4</v>
      </c>
      <c r="Z23" s="220"/>
      <c r="AA23" s="212" t="str">
        <f>AA$18</f>
        <v>Total</v>
      </c>
      <c r="AB23" s="221" t="str">
        <f>AB$18</f>
        <v>Employment</v>
      </c>
      <c r="AC23" s="221" t="str">
        <f t="shared" ref="AC23:AI23" si="7">AC$18</f>
        <v>Education</v>
      </c>
      <c r="AD23" s="221" t="str">
        <f t="shared" si="7"/>
        <v>Apprenticeship</v>
      </c>
      <c r="AE23" s="221" t="str">
        <f t="shared" si="7"/>
        <v>Traineeship</v>
      </c>
      <c r="AF23" s="221" t="str">
        <f t="shared" si="7"/>
        <v>Unemployment</v>
      </c>
      <c r="AG23" s="221" t="str">
        <f t="shared" si="7"/>
        <v>Inactivity</v>
      </c>
      <c r="AH23" s="221" t="str">
        <f t="shared" si="7"/>
        <v>Not applicable</v>
      </c>
      <c r="AI23" s="223" t="str">
        <f t="shared" si="7"/>
        <v>Unknown</v>
      </c>
      <c r="AK23" s="224" t="s">
        <v>4</v>
      </c>
      <c r="AL23" s="220"/>
      <c r="AM23" s="212" t="str">
        <f>AM$18</f>
        <v>Total</v>
      </c>
      <c r="AN23" s="221" t="str">
        <f>AN$18</f>
        <v>Employment</v>
      </c>
      <c r="AO23" s="221" t="str">
        <f t="shared" ref="AO23:AU23" si="8">AO$18</f>
        <v>Education</v>
      </c>
      <c r="AP23" s="221" t="str">
        <f t="shared" si="8"/>
        <v>Apprenticeship</v>
      </c>
      <c r="AQ23" s="221" t="str">
        <f t="shared" si="8"/>
        <v>Traineeship</v>
      </c>
      <c r="AR23" s="221" t="str">
        <f t="shared" si="8"/>
        <v>Unemployment</v>
      </c>
      <c r="AS23" s="221" t="str">
        <f t="shared" si="8"/>
        <v>Inactivity</v>
      </c>
      <c r="AT23" s="221" t="str">
        <f t="shared" si="8"/>
        <v>Not applicable</v>
      </c>
      <c r="AU23" s="223" t="str">
        <f t="shared" si="8"/>
        <v>Unknown</v>
      </c>
      <c r="AW23" s="224" t="s">
        <v>4</v>
      </c>
      <c r="AX23" s="220"/>
      <c r="AY23" s="212" t="str">
        <f>AY$18</f>
        <v>Total</v>
      </c>
      <c r="AZ23" s="221" t="str">
        <f>AZ$18</f>
        <v>Employment</v>
      </c>
      <c r="BA23" s="221" t="str">
        <f t="shared" ref="BA23:BG23" si="9">BA$18</f>
        <v>Education</v>
      </c>
      <c r="BB23" s="221" t="str">
        <f t="shared" si="9"/>
        <v>Apprenticeship</v>
      </c>
      <c r="BC23" s="221" t="str">
        <f t="shared" si="9"/>
        <v>Traineeship</v>
      </c>
      <c r="BD23" s="221" t="str">
        <f t="shared" si="9"/>
        <v>Unemployment</v>
      </c>
      <c r="BE23" s="221" t="str">
        <f t="shared" si="9"/>
        <v>Inactivity</v>
      </c>
      <c r="BF23" s="221" t="str">
        <f t="shared" si="9"/>
        <v>Not applicable</v>
      </c>
      <c r="BG23" s="223" t="str">
        <f t="shared" si="9"/>
        <v>Unknown</v>
      </c>
      <c r="BI23" s="69"/>
      <c r="BK23" s="246"/>
    </row>
    <row r="24" spans="1:63" x14ac:dyDescent="0.35">
      <c r="A24" s="2"/>
      <c r="B24" s="6" t="s">
        <v>441</v>
      </c>
      <c r="C24" s="130"/>
      <c r="D24" s="130"/>
      <c r="E24" s="130"/>
      <c r="F24" s="130"/>
      <c r="G24" s="130"/>
      <c r="H24" s="130"/>
      <c r="I24" s="130"/>
      <c r="J24" s="130"/>
      <c r="K24" s="127">
        <f t="shared" ref="K24:K27" si="10">C24-SUM(D24:G24,H24:I24,J24)</f>
        <v>0</v>
      </c>
      <c r="M24" s="2"/>
      <c r="N24" s="6" t="s">
        <v>441</v>
      </c>
      <c r="O24" s="130"/>
      <c r="P24" s="130"/>
      <c r="Q24" s="130"/>
      <c r="R24" s="130"/>
      <c r="S24" s="130"/>
      <c r="T24" s="130"/>
      <c r="U24" s="130"/>
      <c r="V24" s="130"/>
      <c r="W24" s="127">
        <f t="shared" ref="W24:W27" si="11">O24-SUM(P24:S24,T24:U24,V24)</f>
        <v>0</v>
      </c>
      <c r="Y24" s="2"/>
      <c r="Z24" s="6" t="s">
        <v>441</v>
      </c>
      <c r="AA24" s="130"/>
      <c r="AB24" s="130"/>
      <c r="AC24" s="130"/>
      <c r="AD24" s="130"/>
      <c r="AE24" s="130"/>
      <c r="AF24" s="130"/>
      <c r="AG24" s="130"/>
      <c r="AH24" s="130"/>
      <c r="AI24" s="127">
        <f t="shared" ref="AI24:AI27" si="12">AA24-SUM(AB24:AE24,AF24:AG24,AH24)</f>
        <v>0</v>
      </c>
      <c r="AK24" s="2"/>
      <c r="AL24" s="6" t="s">
        <v>441</v>
      </c>
      <c r="AM24" s="130"/>
      <c r="AN24" s="130"/>
      <c r="AO24" s="130"/>
      <c r="AP24" s="130"/>
      <c r="AQ24" s="130"/>
      <c r="AR24" s="130"/>
      <c r="AS24" s="130"/>
      <c r="AT24" s="130"/>
      <c r="AU24" s="127">
        <f t="shared" ref="AU24:AU27" si="13">AM24-SUM(AN24:AQ24,AR24:AS24,AT24)</f>
        <v>0</v>
      </c>
      <c r="AW24" s="2"/>
      <c r="AX24" s="6" t="s">
        <v>441</v>
      </c>
      <c r="AY24" s="130"/>
      <c r="AZ24" s="130"/>
      <c r="BA24" s="130"/>
      <c r="BB24" s="130"/>
      <c r="BC24" s="130"/>
      <c r="BD24" s="130"/>
      <c r="BE24" s="130"/>
      <c r="BF24" s="130"/>
      <c r="BG24" s="127">
        <f t="shared" ref="BG24:BG27" si="14">AY24-SUM(AZ24:BC24,BD24:BE24,BF24)</f>
        <v>0</v>
      </c>
      <c r="BI24" s="69" t="str">
        <f>IF(OR(K24&lt;0,W24&lt;0,AI24&lt;0,AU24&lt;0,BG24&lt;0),"!! Total must be &gt;= sum by situation",IF(OR(C24&lt;SUM(O24,AA24,AM24,AY24),D24&lt;SUM(P24,AB24,AN24,AZ24),E24&lt;SUM(Q24,AC24,AO24,BA24),F24&lt;SUM(R24,AD24,AP24,BB24),G24&lt;SUM(S24,AE24,AQ24,BC24),H24&lt;SUM(T24,AF24,AR24,BD24),I24&lt;SUM(U24,AG24,AS24,BE24),J24&lt;SUM(V24,AH24,AT24,BF24)),"!! Values in FU1 must be &gt;= sum of values in FU2 - FU5",""))</f>
        <v/>
      </c>
      <c r="BK24" s="246"/>
    </row>
    <row r="25" spans="1:63" x14ac:dyDescent="0.35">
      <c r="A25" s="2"/>
      <c r="B25" s="6" t="s">
        <v>6</v>
      </c>
      <c r="C25" s="130"/>
      <c r="D25" s="130"/>
      <c r="E25" s="130"/>
      <c r="F25" s="130"/>
      <c r="G25" s="130"/>
      <c r="H25" s="130"/>
      <c r="I25" s="130"/>
      <c r="J25" s="130"/>
      <c r="K25" s="127">
        <f t="shared" si="10"/>
        <v>0</v>
      </c>
      <c r="M25" s="2"/>
      <c r="N25" s="6" t="s">
        <v>6</v>
      </c>
      <c r="O25" s="130"/>
      <c r="P25" s="130"/>
      <c r="Q25" s="130"/>
      <c r="R25" s="130"/>
      <c r="S25" s="130"/>
      <c r="T25" s="130"/>
      <c r="U25" s="130"/>
      <c r="V25" s="130"/>
      <c r="W25" s="127">
        <f t="shared" si="11"/>
        <v>0</v>
      </c>
      <c r="Y25" s="2"/>
      <c r="Z25" s="6" t="s">
        <v>6</v>
      </c>
      <c r="AA25" s="130"/>
      <c r="AB25" s="130"/>
      <c r="AC25" s="130"/>
      <c r="AD25" s="130"/>
      <c r="AE25" s="130"/>
      <c r="AF25" s="130"/>
      <c r="AG25" s="130"/>
      <c r="AH25" s="130"/>
      <c r="AI25" s="127">
        <f t="shared" si="12"/>
        <v>0</v>
      </c>
      <c r="AK25" s="2"/>
      <c r="AL25" s="6" t="s">
        <v>6</v>
      </c>
      <c r="AM25" s="130"/>
      <c r="AN25" s="130"/>
      <c r="AO25" s="130"/>
      <c r="AP25" s="130"/>
      <c r="AQ25" s="130"/>
      <c r="AR25" s="130"/>
      <c r="AS25" s="130"/>
      <c r="AT25" s="130"/>
      <c r="AU25" s="127">
        <f t="shared" si="13"/>
        <v>0</v>
      </c>
      <c r="AW25" s="2"/>
      <c r="AX25" s="6" t="s">
        <v>6</v>
      </c>
      <c r="AY25" s="130"/>
      <c r="AZ25" s="130"/>
      <c r="BA25" s="130"/>
      <c r="BB25" s="130"/>
      <c r="BC25" s="130"/>
      <c r="BD25" s="130"/>
      <c r="BE25" s="130"/>
      <c r="BF25" s="130"/>
      <c r="BG25" s="127">
        <f t="shared" si="14"/>
        <v>0</v>
      </c>
      <c r="BI25" s="69" t="str">
        <f>IF(OR(K25&lt;0,W25&lt;0,AI25&lt;0,AU25&lt;0,BG25&lt;0),"!! Total must be &gt;= sum by situation",IF(OR(C25&lt;SUM(O25,AA25,AM25,AY25),D25&lt;SUM(P25,AB25,AN25,AZ25),E25&lt;SUM(Q25,AC25,AO25,BA25),F25&lt;SUM(R25,AD25,AP25,BB25),G25&lt;SUM(S25,AE25,AQ25,BC25),H25&lt;SUM(T25,AF25,AR25,BD25),I25&lt;SUM(U25,AG25,AS25,BE25),J25&lt;SUM(V25,AH25,AT25,BF25)),"!! Values in FU1 must be &gt;= sum of values in FU2 - FU5",""))</f>
        <v/>
      </c>
      <c r="BK25" s="246"/>
    </row>
    <row r="26" spans="1:63" x14ac:dyDescent="0.35">
      <c r="A26" s="2"/>
      <c r="B26" s="6" t="s">
        <v>7</v>
      </c>
      <c r="C26" s="130"/>
      <c r="D26" s="130"/>
      <c r="E26" s="130"/>
      <c r="F26" s="130"/>
      <c r="G26" s="130"/>
      <c r="H26" s="130"/>
      <c r="I26" s="130"/>
      <c r="J26" s="130"/>
      <c r="K26" s="127">
        <f t="shared" si="10"/>
        <v>0</v>
      </c>
      <c r="M26" s="2"/>
      <c r="N26" s="6" t="s">
        <v>7</v>
      </c>
      <c r="O26" s="130"/>
      <c r="P26" s="130"/>
      <c r="Q26" s="130"/>
      <c r="R26" s="130"/>
      <c r="S26" s="130"/>
      <c r="T26" s="130"/>
      <c r="U26" s="130"/>
      <c r="V26" s="130"/>
      <c r="W26" s="127">
        <f t="shared" si="11"/>
        <v>0</v>
      </c>
      <c r="Y26" s="2"/>
      <c r="Z26" s="6" t="s">
        <v>7</v>
      </c>
      <c r="AA26" s="130"/>
      <c r="AB26" s="130"/>
      <c r="AC26" s="130"/>
      <c r="AD26" s="130"/>
      <c r="AE26" s="130"/>
      <c r="AF26" s="130"/>
      <c r="AG26" s="130"/>
      <c r="AH26" s="130"/>
      <c r="AI26" s="127">
        <f t="shared" si="12"/>
        <v>0</v>
      </c>
      <c r="AK26" s="2"/>
      <c r="AL26" s="6" t="s">
        <v>7</v>
      </c>
      <c r="AM26" s="130"/>
      <c r="AN26" s="130"/>
      <c r="AO26" s="130"/>
      <c r="AP26" s="130"/>
      <c r="AQ26" s="130"/>
      <c r="AR26" s="130"/>
      <c r="AS26" s="130"/>
      <c r="AT26" s="130"/>
      <c r="AU26" s="127">
        <f t="shared" si="13"/>
        <v>0</v>
      </c>
      <c r="AW26" s="2"/>
      <c r="AX26" s="6" t="s">
        <v>7</v>
      </c>
      <c r="AY26" s="130"/>
      <c r="AZ26" s="130"/>
      <c r="BA26" s="130"/>
      <c r="BB26" s="130"/>
      <c r="BC26" s="130"/>
      <c r="BD26" s="130"/>
      <c r="BE26" s="130"/>
      <c r="BF26" s="130"/>
      <c r="BG26" s="127">
        <f t="shared" si="14"/>
        <v>0</v>
      </c>
      <c r="BI26" s="69" t="str">
        <f t="shared" ref="BI26:BI27" si="15">IF(OR(K26&lt;0,W26&lt;0,AI26&lt;0,AU26&lt;0,BG26&lt;0),"!! Total must be &gt;= sum by situation",IF(OR(C26&lt;SUM(O26,AA26,AM26,AY26),D26&lt;SUM(P26,AB26,AN26,AZ26),E26&lt;SUM(Q26,AC26,AO26,BA26),F26&lt;SUM(R26,AD26,AP26,BB26),G26&lt;SUM(S26,AE26,AQ26,BC26),H26&lt;SUM(T26,AF26,AR26,BD26),I26&lt;SUM(U26,AG26,AS26,BE26),J26&lt;SUM(V26,AH26,AT26,BF26)),"!! Values in FU1 must be &gt;= sum of values in FU2 - FU5",""))</f>
        <v/>
      </c>
      <c r="BK26" s="246"/>
    </row>
    <row r="27" spans="1:63" x14ac:dyDescent="0.35">
      <c r="A27" s="2"/>
      <c r="B27" s="6" t="s">
        <v>440</v>
      </c>
      <c r="C27" s="130"/>
      <c r="D27" s="130"/>
      <c r="E27" s="130"/>
      <c r="F27" s="130"/>
      <c r="G27" s="130"/>
      <c r="H27" s="130"/>
      <c r="I27" s="130"/>
      <c r="J27" s="130"/>
      <c r="K27" s="127">
        <f t="shared" si="10"/>
        <v>0</v>
      </c>
      <c r="M27" s="2"/>
      <c r="N27" s="6" t="s">
        <v>440</v>
      </c>
      <c r="O27" s="130"/>
      <c r="P27" s="130"/>
      <c r="Q27" s="130"/>
      <c r="R27" s="130"/>
      <c r="S27" s="130"/>
      <c r="T27" s="130"/>
      <c r="U27" s="130"/>
      <c r="V27" s="130"/>
      <c r="W27" s="127">
        <f t="shared" si="11"/>
        <v>0</v>
      </c>
      <c r="Y27" s="2"/>
      <c r="Z27" s="6" t="s">
        <v>440</v>
      </c>
      <c r="AA27" s="130"/>
      <c r="AB27" s="130"/>
      <c r="AC27" s="130"/>
      <c r="AD27" s="130"/>
      <c r="AE27" s="130"/>
      <c r="AF27" s="130"/>
      <c r="AG27" s="130"/>
      <c r="AH27" s="130"/>
      <c r="AI27" s="127">
        <f t="shared" si="12"/>
        <v>0</v>
      </c>
      <c r="AK27" s="2"/>
      <c r="AL27" s="6" t="s">
        <v>440</v>
      </c>
      <c r="AM27" s="130"/>
      <c r="AN27" s="130"/>
      <c r="AO27" s="130"/>
      <c r="AP27" s="130"/>
      <c r="AQ27" s="130"/>
      <c r="AR27" s="130"/>
      <c r="AS27" s="130"/>
      <c r="AT27" s="130"/>
      <c r="AU27" s="127">
        <f t="shared" si="13"/>
        <v>0</v>
      </c>
      <c r="AW27" s="2"/>
      <c r="AX27" s="6" t="s">
        <v>440</v>
      </c>
      <c r="AY27" s="130"/>
      <c r="AZ27" s="130"/>
      <c r="BA27" s="130"/>
      <c r="BB27" s="130"/>
      <c r="BC27" s="130"/>
      <c r="BD27" s="130"/>
      <c r="BE27" s="130"/>
      <c r="BF27" s="130"/>
      <c r="BG27" s="127">
        <f t="shared" si="14"/>
        <v>0</v>
      </c>
      <c r="BI27" s="69" t="str">
        <f t="shared" si="15"/>
        <v/>
      </c>
      <c r="BK27" s="246"/>
    </row>
    <row r="28" spans="1:63" x14ac:dyDescent="0.35">
      <c r="A28" s="4" t="s">
        <v>5</v>
      </c>
      <c r="B28" s="220"/>
      <c r="C28" s="212" t="str">
        <f>C$18</f>
        <v>Total</v>
      </c>
      <c r="D28" s="221" t="str">
        <f>D$18</f>
        <v>Employment</v>
      </c>
      <c r="E28" s="221" t="str">
        <f t="shared" ref="E28:K28" si="16">E$18</f>
        <v>Education</v>
      </c>
      <c r="F28" s="221" t="str">
        <f t="shared" si="16"/>
        <v>Apprenticeship</v>
      </c>
      <c r="G28" s="221" t="str">
        <f t="shared" si="16"/>
        <v>Traineeship</v>
      </c>
      <c r="H28" s="221" t="str">
        <f t="shared" si="16"/>
        <v>Unemployment</v>
      </c>
      <c r="I28" s="221" t="str">
        <f t="shared" si="16"/>
        <v>Inactivity</v>
      </c>
      <c r="J28" s="221" t="str">
        <f t="shared" si="16"/>
        <v>Not applicable</v>
      </c>
      <c r="K28" s="223" t="str">
        <f t="shared" si="16"/>
        <v>Unknown</v>
      </c>
      <c r="M28" s="224" t="s">
        <v>5</v>
      </c>
      <c r="N28" s="220"/>
      <c r="O28" s="212" t="str">
        <f>O$18</f>
        <v>Total</v>
      </c>
      <c r="P28" s="221" t="str">
        <f>P$18</f>
        <v>Employment</v>
      </c>
      <c r="Q28" s="221" t="str">
        <f t="shared" ref="Q28:W28" si="17">Q$18</f>
        <v>Education</v>
      </c>
      <c r="R28" s="221" t="str">
        <f t="shared" si="17"/>
        <v>Apprenticeship</v>
      </c>
      <c r="S28" s="221" t="str">
        <f t="shared" si="17"/>
        <v>Traineeship</v>
      </c>
      <c r="T28" s="221" t="str">
        <f t="shared" si="17"/>
        <v>Unemployment</v>
      </c>
      <c r="U28" s="221" t="str">
        <f t="shared" si="17"/>
        <v>Inactivity</v>
      </c>
      <c r="V28" s="221" t="str">
        <f t="shared" si="17"/>
        <v>Not applicable</v>
      </c>
      <c r="W28" s="223" t="str">
        <f t="shared" si="17"/>
        <v>Unknown</v>
      </c>
      <c r="Y28" s="224" t="s">
        <v>5</v>
      </c>
      <c r="Z28" s="220"/>
      <c r="AA28" s="212" t="str">
        <f>AA$18</f>
        <v>Total</v>
      </c>
      <c r="AB28" s="221" t="str">
        <f>AB$18</f>
        <v>Employment</v>
      </c>
      <c r="AC28" s="221" t="str">
        <f t="shared" ref="AC28:AI28" si="18">AC$18</f>
        <v>Education</v>
      </c>
      <c r="AD28" s="221" t="str">
        <f t="shared" si="18"/>
        <v>Apprenticeship</v>
      </c>
      <c r="AE28" s="221" t="str">
        <f t="shared" si="18"/>
        <v>Traineeship</v>
      </c>
      <c r="AF28" s="221" t="str">
        <f t="shared" si="18"/>
        <v>Unemployment</v>
      </c>
      <c r="AG28" s="221" t="str">
        <f t="shared" si="18"/>
        <v>Inactivity</v>
      </c>
      <c r="AH28" s="221" t="str">
        <f t="shared" si="18"/>
        <v>Not applicable</v>
      </c>
      <c r="AI28" s="223" t="str">
        <f t="shared" si="18"/>
        <v>Unknown</v>
      </c>
      <c r="AK28" s="224" t="s">
        <v>5</v>
      </c>
      <c r="AL28" s="220"/>
      <c r="AM28" s="212" t="str">
        <f>AM$18</f>
        <v>Total</v>
      </c>
      <c r="AN28" s="221" t="str">
        <f>AN$18</f>
        <v>Employment</v>
      </c>
      <c r="AO28" s="221" t="str">
        <f t="shared" ref="AO28:AU28" si="19">AO$18</f>
        <v>Education</v>
      </c>
      <c r="AP28" s="221" t="str">
        <f t="shared" si="19"/>
        <v>Apprenticeship</v>
      </c>
      <c r="AQ28" s="221" t="str">
        <f t="shared" si="19"/>
        <v>Traineeship</v>
      </c>
      <c r="AR28" s="221" t="str">
        <f t="shared" si="19"/>
        <v>Unemployment</v>
      </c>
      <c r="AS28" s="221" t="str">
        <f t="shared" si="19"/>
        <v>Inactivity</v>
      </c>
      <c r="AT28" s="221" t="str">
        <f t="shared" si="19"/>
        <v>Not applicable</v>
      </c>
      <c r="AU28" s="223" t="str">
        <f t="shared" si="19"/>
        <v>Unknown</v>
      </c>
      <c r="AW28" s="224" t="s">
        <v>5</v>
      </c>
      <c r="AX28" s="220"/>
      <c r="AY28" s="212" t="str">
        <f>AY$18</f>
        <v>Total</v>
      </c>
      <c r="AZ28" s="221" t="str">
        <f>AZ$18</f>
        <v>Employment</v>
      </c>
      <c r="BA28" s="221" t="str">
        <f t="shared" ref="BA28:BG28" si="20">BA$18</f>
        <v>Education</v>
      </c>
      <c r="BB28" s="221" t="str">
        <f t="shared" si="20"/>
        <v>Apprenticeship</v>
      </c>
      <c r="BC28" s="221" t="str">
        <f t="shared" si="20"/>
        <v>Traineeship</v>
      </c>
      <c r="BD28" s="221" t="str">
        <f t="shared" si="20"/>
        <v>Unemployment</v>
      </c>
      <c r="BE28" s="221" t="str">
        <f t="shared" si="20"/>
        <v>Inactivity</v>
      </c>
      <c r="BF28" s="221" t="str">
        <f t="shared" si="20"/>
        <v>Not applicable</v>
      </c>
      <c r="BG28" s="223" t="str">
        <f t="shared" si="20"/>
        <v>Unknown</v>
      </c>
      <c r="BI28" s="69"/>
      <c r="BK28" s="246"/>
    </row>
    <row r="29" spans="1:63" x14ac:dyDescent="0.35">
      <c r="A29" s="2"/>
      <c r="B29" s="6" t="s">
        <v>441</v>
      </c>
      <c r="C29" s="130"/>
      <c r="D29" s="130"/>
      <c r="E29" s="130"/>
      <c r="F29" s="130"/>
      <c r="G29" s="130"/>
      <c r="H29" s="130"/>
      <c r="I29" s="130"/>
      <c r="J29" s="130"/>
      <c r="K29" s="127">
        <f t="shared" ref="K29:K31" si="21">C29-SUM(D29:G29,H29:I29,J29)</f>
        <v>0</v>
      </c>
      <c r="M29" s="2"/>
      <c r="N29" s="6" t="s">
        <v>441</v>
      </c>
      <c r="O29" s="130"/>
      <c r="P29" s="130"/>
      <c r="Q29" s="130"/>
      <c r="R29" s="130"/>
      <c r="S29" s="130"/>
      <c r="T29" s="130"/>
      <c r="U29" s="130"/>
      <c r="V29" s="130"/>
      <c r="W29" s="127">
        <f t="shared" ref="W29:W31" si="22">O29-SUM(P29:S29,T29:U29,V29)</f>
        <v>0</v>
      </c>
      <c r="Y29" s="2"/>
      <c r="Z29" s="6" t="s">
        <v>441</v>
      </c>
      <c r="AA29" s="130"/>
      <c r="AB29" s="130"/>
      <c r="AC29" s="130"/>
      <c r="AD29" s="130"/>
      <c r="AE29" s="130"/>
      <c r="AF29" s="130"/>
      <c r="AG29" s="130"/>
      <c r="AH29" s="130"/>
      <c r="AI29" s="127">
        <f t="shared" ref="AI29:AI31" si="23">AA29-SUM(AB29:AE29,AF29:AG29,AH29)</f>
        <v>0</v>
      </c>
      <c r="AK29" s="2"/>
      <c r="AL29" s="6" t="s">
        <v>441</v>
      </c>
      <c r="AM29" s="130"/>
      <c r="AN29" s="130"/>
      <c r="AO29" s="130"/>
      <c r="AP29" s="130"/>
      <c r="AQ29" s="130"/>
      <c r="AR29" s="130"/>
      <c r="AS29" s="130"/>
      <c r="AT29" s="130"/>
      <c r="AU29" s="127">
        <f t="shared" ref="AU29:AU31" si="24">AM29-SUM(AN29:AQ29,AR29:AS29,AT29)</f>
        <v>0</v>
      </c>
      <c r="AW29" s="2"/>
      <c r="AX29" s="6" t="s">
        <v>441</v>
      </c>
      <c r="AY29" s="130"/>
      <c r="AZ29" s="130"/>
      <c r="BA29" s="130"/>
      <c r="BB29" s="130"/>
      <c r="BC29" s="130"/>
      <c r="BD29" s="130"/>
      <c r="BE29" s="130"/>
      <c r="BF29" s="130"/>
      <c r="BG29" s="127">
        <f t="shared" ref="BG29:BG31" si="25">AY29-SUM(AZ29:BC29,BD29:BE29,BF29)</f>
        <v>0</v>
      </c>
      <c r="BI29" s="69" t="str">
        <f>IF(OR(K29&lt;0,W29&lt;0,AI29&lt;0,AU29&lt;0,BG29&lt;0),"!! Total must be &gt;= sum by situation",IF(OR(C29&lt;SUM(O29,AA29,AM29,AY29),D29&lt;SUM(P29,AB29,AN29,AZ29),E29&lt;SUM(Q29,AC29,AO29,BA29),F29&lt;SUM(R29,AD29,AP29,BB29),G29&lt;SUM(S29,AE29,AQ29,BC29),H29&lt;SUM(T29,AF29,AR29,BD29),I29&lt;SUM(U29,AG29,AS29,BE29),J29&lt;SUM(V29,AH29,AT29,BF29)),"!! Values in FU1 must be &gt;= sum of values in FU2 - FU5",""))</f>
        <v/>
      </c>
      <c r="BK29" s="246"/>
    </row>
    <row r="30" spans="1:63" x14ac:dyDescent="0.35">
      <c r="A30" s="2"/>
      <c r="B30" s="6" t="s">
        <v>6</v>
      </c>
      <c r="C30" s="130"/>
      <c r="D30" s="130"/>
      <c r="E30" s="130"/>
      <c r="F30" s="130"/>
      <c r="G30" s="130"/>
      <c r="H30" s="130"/>
      <c r="I30" s="130"/>
      <c r="J30" s="130"/>
      <c r="K30" s="127">
        <f t="shared" si="21"/>
        <v>0</v>
      </c>
      <c r="M30" s="2"/>
      <c r="N30" s="6" t="s">
        <v>6</v>
      </c>
      <c r="O30" s="130"/>
      <c r="P30" s="130"/>
      <c r="Q30" s="130"/>
      <c r="R30" s="130"/>
      <c r="S30" s="130"/>
      <c r="T30" s="130"/>
      <c r="U30" s="130"/>
      <c r="V30" s="130"/>
      <c r="W30" s="127">
        <f t="shared" si="22"/>
        <v>0</v>
      </c>
      <c r="Y30" s="2"/>
      <c r="Z30" s="6" t="s">
        <v>6</v>
      </c>
      <c r="AA30" s="130"/>
      <c r="AB30" s="130"/>
      <c r="AC30" s="130"/>
      <c r="AD30" s="130"/>
      <c r="AE30" s="130"/>
      <c r="AF30" s="130"/>
      <c r="AG30" s="130"/>
      <c r="AH30" s="130"/>
      <c r="AI30" s="127">
        <f t="shared" si="23"/>
        <v>0</v>
      </c>
      <c r="AK30" s="2"/>
      <c r="AL30" s="6" t="s">
        <v>6</v>
      </c>
      <c r="AM30" s="130"/>
      <c r="AN30" s="130"/>
      <c r="AO30" s="130"/>
      <c r="AP30" s="130"/>
      <c r="AQ30" s="130"/>
      <c r="AR30" s="130"/>
      <c r="AS30" s="130"/>
      <c r="AT30" s="130"/>
      <c r="AU30" s="127">
        <f t="shared" si="24"/>
        <v>0</v>
      </c>
      <c r="AW30" s="2"/>
      <c r="AX30" s="6" t="s">
        <v>6</v>
      </c>
      <c r="AY30" s="130"/>
      <c r="AZ30" s="130"/>
      <c r="BA30" s="130"/>
      <c r="BB30" s="130"/>
      <c r="BC30" s="130"/>
      <c r="BD30" s="130"/>
      <c r="BE30" s="130"/>
      <c r="BF30" s="130"/>
      <c r="BG30" s="127">
        <f t="shared" si="25"/>
        <v>0</v>
      </c>
      <c r="BI30" s="69" t="str">
        <f>IF(OR(K30&lt;0,W30&lt;0,AI30&lt;0,AU30&lt;0,BG30&lt;0),"!! Total must be &gt;= sum by situation",IF(OR(C30&lt;SUM(O30,AA30,AM30,AY30),D30&lt;SUM(P30,AB30,AN30,AZ30),E30&lt;SUM(Q30,AC30,AO30,BA30),F30&lt;SUM(R30,AD30,AP30,BB30),G30&lt;SUM(S30,AE30,AQ30,BC30),H30&lt;SUM(T30,AF30,AR30,BD30),I30&lt;SUM(U30,AG30,AS30,BE30),J30&lt;SUM(V30,AH30,AT30,BF30)),"!! Values in FU1 must be &gt;= sum of values in FU2 - FU5",""))</f>
        <v/>
      </c>
      <c r="BK30" s="246"/>
    </row>
    <row r="31" spans="1:63" x14ac:dyDescent="0.35">
      <c r="A31" s="2"/>
      <c r="B31" s="6" t="s">
        <v>7</v>
      </c>
      <c r="C31" s="130"/>
      <c r="D31" s="130"/>
      <c r="E31" s="130"/>
      <c r="F31" s="130"/>
      <c r="G31" s="130"/>
      <c r="H31" s="130"/>
      <c r="I31" s="130"/>
      <c r="J31" s="130"/>
      <c r="K31" s="127">
        <f t="shared" si="21"/>
        <v>0</v>
      </c>
      <c r="M31" s="2"/>
      <c r="N31" s="6" t="s">
        <v>7</v>
      </c>
      <c r="O31" s="130"/>
      <c r="P31" s="130"/>
      <c r="Q31" s="130"/>
      <c r="R31" s="130"/>
      <c r="S31" s="130"/>
      <c r="T31" s="130"/>
      <c r="U31" s="130"/>
      <c r="V31" s="130"/>
      <c r="W31" s="127">
        <f t="shared" si="22"/>
        <v>0</v>
      </c>
      <c r="Y31" s="2"/>
      <c r="Z31" s="6" t="s">
        <v>7</v>
      </c>
      <c r="AA31" s="130"/>
      <c r="AB31" s="130"/>
      <c r="AC31" s="130"/>
      <c r="AD31" s="130"/>
      <c r="AE31" s="130"/>
      <c r="AF31" s="130"/>
      <c r="AG31" s="130"/>
      <c r="AH31" s="130"/>
      <c r="AI31" s="127">
        <f t="shared" si="23"/>
        <v>0</v>
      </c>
      <c r="AK31" s="2"/>
      <c r="AL31" s="6" t="s">
        <v>7</v>
      </c>
      <c r="AM31" s="130"/>
      <c r="AN31" s="130"/>
      <c r="AO31" s="130"/>
      <c r="AP31" s="130"/>
      <c r="AQ31" s="130"/>
      <c r="AR31" s="130"/>
      <c r="AS31" s="130"/>
      <c r="AT31" s="130"/>
      <c r="AU31" s="127">
        <f t="shared" si="24"/>
        <v>0</v>
      </c>
      <c r="AW31" s="2"/>
      <c r="AX31" s="6" t="s">
        <v>7</v>
      </c>
      <c r="AY31" s="130"/>
      <c r="AZ31" s="130"/>
      <c r="BA31" s="130"/>
      <c r="BB31" s="130"/>
      <c r="BC31" s="130"/>
      <c r="BD31" s="130"/>
      <c r="BE31" s="130"/>
      <c r="BF31" s="130"/>
      <c r="BG31" s="127">
        <f t="shared" si="25"/>
        <v>0</v>
      </c>
      <c r="BI31" s="69" t="str">
        <f t="shared" ref="BI31:BI32" si="26">IF(OR(K31&lt;0,W31&lt;0,AI31&lt;0,AU31&lt;0,BG31&lt;0),"!! Total must be &gt;= sum by situation",IF(OR(C31&lt;SUM(O31,AA31,AM31,AY31),D31&lt;SUM(P31,AB31,AN31,AZ31),E31&lt;SUM(Q31,AC31,AO31,BA31),F31&lt;SUM(R31,AD31,AP31,BB31),G31&lt;SUM(S31,AE31,AQ31,BC31),H31&lt;SUM(T31,AF31,AR31,BD31),I31&lt;SUM(U31,AG31,AS31,BE31),J31&lt;SUM(V31,AH31,AT31,BF31)),"!! Values in FU1 must be &gt;= sum of values in FU2 - FU5",""))</f>
        <v/>
      </c>
      <c r="BK31" s="246"/>
    </row>
    <row r="32" spans="1:63" ht="15" thickBot="1" x14ac:dyDescent="0.4">
      <c r="A32" s="2"/>
      <c r="B32" s="6" t="s">
        <v>440</v>
      </c>
      <c r="C32" s="130"/>
      <c r="D32" s="130"/>
      <c r="E32" s="130"/>
      <c r="F32" s="130"/>
      <c r="G32" s="130"/>
      <c r="H32" s="130"/>
      <c r="I32" s="130"/>
      <c r="J32" s="130"/>
      <c r="K32" s="127">
        <f>C32-SUM(D32:G32,H32:I32,J32)</f>
        <v>0</v>
      </c>
      <c r="M32" s="2"/>
      <c r="N32" s="6" t="s">
        <v>440</v>
      </c>
      <c r="O32" s="130"/>
      <c r="P32" s="130"/>
      <c r="Q32" s="130"/>
      <c r="R32" s="130"/>
      <c r="S32" s="130"/>
      <c r="T32" s="130"/>
      <c r="U32" s="130"/>
      <c r="V32" s="130"/>
      <c r="W32" s="127">
        <f>O32-SUM(P32:S32,T32:U32,V32)</f>
        <v>0</v>
      </c>
      <c r="Y32" s="2"/>
      <c r="Z32" s="6" t="s">
        <v>440</v>
      </c>
      <c r="AA32" s="130"/>
      <c r="AB32" s="130"/>
      <c r="AC32" s="130"/>
      <c r="AD32" s="130"/>
      <c r="AE32" s="130"/>
      <c r="AF32" s="130"/>
      <c r="AG32" s="130"/>
      <c r="AH32" s="130"/>
      <c r="AI32" s="127">
        <f>AA32-SUM(AB32:AE32,AF32:AG32,AH32)</f>
        <v>0</v>
      </c>
      <c r="AK32" s="2"/>
      <c r="AL32" s="6" t="s">
        <v>440</v>
      </c>
      <c r="AM32" s="130"/>
      <c r="AN32" s="130"/>
      <c r="AO32" s="130"/>
      <c r="AP32" s="130"/>
      <c r="AQ32" s="130"/>
      <c r="AR32" s="130"/>
      <c r="AS32" s="130"/>
      <c r="AT32" s="130"/>
      <c r="AU32" s="127">
        <f>AM32-SUM(AN32:AQ32,AR32:AS32,AT32)</f>
        <v>0</v>
      </c>
      <c r="AW32" s="2"/>
      <c r="AX32" s="6" t="s">
        <v>440</v>
      </c>
      <c r="AY32" s="130"/>
      <c r="AZ32" s="130"/>
      <c r="BA32" s="130"/>
      <c r="BB32" s="130"/>
      <c r="BC32" s="130"/>
      <c r="BD32" s="130"/>
      <c r="BE32" s="130"/>
      <c r="BF32" s="130"/>
      <c r="BG32" s="127">
        <f>AY32-SUM(AZ32:BC32,BD32:BE32,BF32)</f>
        <v>0</v>
      </c>
      <c r="BI32" s="69" t="str">
        <f t="shared" si="26"/>
        <v/>
      </c>
      <c r="BK32" s="246"/>
    </row>
    <row r="33" spans="1:63" ht="15" thickTop="1" x14ac:dyDescent="0.35">
      <c r="A33" s="117" t="s">
        <v>162</v>
      </c>
      <c r="B33" s="118"/>
      <c r="C33" s="214"/>
      <c r="D33" s="180"/>
      <c r="E33" s="181"/>
      <c r="F33" s="181"/>
      <c r="G33" s="181"/>
      <c r="H33" s="181"/>
      <c r="I33" s="181"/>
      <c r="J33" s="181"/>
      <c r="K33" s="119"/>
      <c r="M33" s="117" t="s">
        <v>162</v>
      </c>
      <c r="N33" s="118"/>
      <c r="O33" s="214"/>
      <c r="P33" s="180"/>
      <c r="Q33" s="181"/>
      <c r="R33" s="181"/>
      <c r="S33" s="181"/>
      <c r="T33" s="181"/>
      <c r="U33" s="181"/>
      <c r="V33" s="181"/>
      <c r="W33" s="119"/>
      <c r="Y33" s="117" t="s">
        <v>162</v>
      </c>
      <c r="Z33" s="118"/>
      <c r="AA33" s="214"/>
      <c r="AB33" s="180"/>
      <c r="AC33" s="181"/>
      <c r="AD33" s="181"/>
      <c r="AE33" s="181"/>
      <c r="AF33" s="181"/>
      <c r="AG33" s="181"/>
      <c r="AH33" s="181"/>
      <c r="AI33" s="119"/>
      <c r="AK33" s="117" t="s">
        <v>162</v>
      </c>
      <c r="AL33" s="118"/>
      <c r="AM33" s="214"/>
      <c r="AN33" s="180"/>
      <c r="AO33" s="181"/>
      <c r="AP33" s="181"/>
      <c r="AQ33" s="181"/>
      <c r="AR33" s="181"/>
      <c r="AS33" s="181"/>
      <c r="AT33" s="181"/>
      <c r="AU33" s="119"/>
      <c r="AW33" s="117" t="s">
        <v>162</v>
      </c>
      <c r="AX33" s="118"/>
      <c r="AY33" s="214"/>
      <c r="AZ33" s="180"/>
      <c r="BA33" s="181"/>
      <c r="BB33" s="181"/>
      <c r="BC33" s="181"/>
      <c r="BD33" s="181"/>
      <c r="BE33" s="181"/>
      <c r="BF33" s="181"/>
      <c r="BG33" s="119"/>
      <c r="BI33" s="69"/>
      <c r="BK33" s="246"/>
    </row>
    <row r="34" spans="1:63" ht="15" hidden="1" customHeight="1" x14ac:dyDescent="0.35">
      <c r="A34" s="14" t="str">
        <f>A33</f>
        <v>12 months after exit</v>
      </c>
      <c r="B34" s="15"/>
      <c r="C34" s="215"/>
      <c r="D34" s="182"/>
      <c r="E34" s="182"/>
      <c r="F34" s="182"/>
      <c r="G34" s="182"/>
      <c r="H34" s="182"/>
      <c r="I34" s="182"/>
      <c r="J34" s="183"/>
      <c r="K34" s="34" t="e">
        <f>#REF!</f>
        <v>#REF!</v>
      </c>
      <c r="M34" s="14" t="str">
        <f>M33</f>
        <v>12 months after exit</v>
      </c>
      <c r="N34" s="15"/>
      <c r="O34" s="215"/>
      <c r="P34" s="182"/>
      <c r="Q34" s="182"/>
      <c r="R34" s="182"/>
      <c r="S34" s="182"/>
      <c r="T34" s="182"/>
      <c r="U34" s="182"/>
      <c r="V34" s="183"/>
      <c r="W34" s="34" t="e">
        <f>#REF!</f>
        <v>#REF!</v>
      </c>
      <c r="Y34" s="14" t="str">
        <f>Y33</f>
        <v>12 months after exit</v>
      </c>
      <c r="Z34" s="15"/>
      <c r="AA34" s="215"/>
      <c r="AB34" s="182"/>
      <c r="AC34" s="182"/>
      <c r="AD34" s="182"/>
      <c r="AE34" s="182"/>
      <c r="AF34" s="182"/>
      <c r="AG34" s="182"/>
      <c r="AH34" s="183"/>
      <c r="AI34" s="34" t="e">
        <f>#REF!</f>
        <v>#REF!</v>
      </c>
      <c r="AK34" s="14" t="str">
        <f>AK33</f>
        <v>12 months after exit</v>
      </c>
      <c r="AL34" s="15"/>
      <c r="AM34" s="215"/>
      <c r="AN34" s="182"/>
      <c r="AO34" s="182"/>
      <c r="AP34" s="182"/>
      <c r="AQ34" s="182"/>
      <c r="AR34" s="182"/>
      <c r="AS34" s="182"/>
      <c r="AT34" s="183"/>
      <c r="AU34" s="34" t="e">
        <f>#REF!</f>
        <v>#REF!</v>
      </c>
      <c r="AW34" s="14" t="str">
        <f>AW33</f>
        <v>12 months after exit</v>
      </c>
      <c r="AX34" s="15"/>
      <c r="AY34" s="215"/>
      <c r="AZ34" s="182"/>
      <c r="BA34" s="182"/>
      <c r="BB34" s="182"/>
      <c r="BC34" s="182"/>
      <c r="BD34" s="182"/>
      <c r="BE34" s="182"/>
      <c r="BF34" s="183"/>
      <c r="BG34" s="34" t="e">
        <f>#REF!</f>
        <v>#REF!</v>
      </c>
      <c r="BI34" s="69"/>
      <c r="BK34" s="246"/>
    </row>
    <row r="35" spans="1:63" x14ac:dyDescent="0.35">
      <c r="A35" s="224" t="s">
        <v>106</v>
      </c>
      <c r="B35" s="220"/>
      <c r="C35" s="212" t="str">
        <f>C$18</f>
        <v>Total</v>
      </c>
      <c r="D35" s="221" t="str">
        <f>D$18</f>
        <v>Employment</v>
      </c>
      <c r="E35" s="221" t="str">
        <f t="shared" ref="E35:K35" si="27">E$18</f>
        <v>Education</v>
      </c>
      <c r="F35" s="221" t="str">
        <f t="shared" si="27"/>
        <v>Apprenticeship</v>
      </c>
      <c r="G35" s="221" t="str">
        <f t="shared" si="27"/>
        <v>Traineeship</v>
      </c>
      <c r="H35" s="221" t="str">
        <f t="shared" si="27"/>
        <v>Unemployment</v>
      </c>
      <c r="I35" s="221" t="str">
        <f t="shared" si="27"/>
        <v>Inactivity</v>
      </c>
      <c r="J35" s="221" t="str">
        <f t="shared" si="27"/>
        <v>Not applicable</v>
      </c>
      <c r="K35" s="223" t="str">
        <f t="shared" si="27"/>
        <v>Unknown</v>
      </c>
      <c r="M35" s="224" t="s">
        <v>106</v>
      </c>
      <c r="N35" s="220"/>
      <c r="O35" s="212" t="str">
        <f>O$18</f>
        <v>Total</v>
      </c>
      <c r="P35" s="221" t="str">
        <f>P$18</f>
        <v>Employment</v>
      </c>
      <c r="Q35" s="221" t="str">
        <f t="shared" ref="Q35:W35" si="28">Q$18</f>
        <v>Education</v>
      </c>
      <c r="R35" s="221" t="str">
        <f t="shared" si="28"/>
        <v>Apprenticeship</v>
      </c>
      <c r="S35" s="221" t="str">
        <f t="shared" si="28"/>
        <v>Traineeship</v>
      </c>
      <c r="T35" s="221" t="str">
        <f t="shared" si="28"/>
        <v>Unemployment</v>
      </c>
      <c r="U35" s="221" t="str">
        <f t="shared" si="28"/>
        <v>Inactivity</v>
      </c>
      <c r="V35" s="221" t="str">
        <f t="shared" si="28"/>
        <v>Not applicable</v>
      </c>
      <c r="W35" s="223" t="str">
        <f t="shared" si="28"/>
        <v>Unknown</v>
      </c>
      <c r="Y35" s="224" t="s">
        <v>106</v>
      </c>
      <c r="Z35" s="220"/>
      <c r="AA35" s="212" t="str">
        <f>AA$18</f>
        <v>Total</v>
      </c>
      <c r="AB35" s="221" t="str">
        <f>AB$18</f>
        <v>Employment</v>
      </c>
      <c r="AC35" s="221" t="str">
        <f t="shared" ref="AC35:AI35" si="29">AC$18</f>
        <v>Education</v>
      </c>
      <c r="AD35" s="221" t="str">
        <f t="shared" si="29"/>
        <v>Apprenticeship</v>
      </c>
      <c r="AE35" s="221" t="str">
        <f t="shared" si="29"/>
        <v>Traineeship</v>
      </c>
      <c r="AF35" s="221" t="str">
        <f t="shared" si="29"/>
        <v>Unemployment</v>
      </c>
      <c r="AG35" s="221" t="str">
        <f t="shared" si="29"/>
        <v>Inactivity</v>
      </c>
      <c r="AH35" s="221" t="str">
        <f t="shared" si="29"/>
        <v>Not applicable</v>
      </c>
      <c r="AI35" s="223" t="str">
        <f t="shared" si="29"/>
        <v>Unknown</v>
      </c>
      <c r="AK35" s="224" t="s">
        <v>106</v>
      </c>
      <c r="AL35" s="220"/>
      <c r="AM35" s="212" t="str">
        <f>AM$18</f>
        <v>Total</v>
      </c>
      <c r="AN35" s="221" t="str">
        <f>AN$18</f>
        <v>Employment</v>
      </c>
      <c r="AO35" s="221" t="str">
        <f t="shared" ref="AO35:AU35" si="30">AO$18</f>
        <v>Education</v>
      </c>
      <c r="AP35" s="221" t="str">
        <f t="shared" si="30"/>
        <v>Apprenticeship</v>
      </c>
      <c r="AQ35" s="221" t="str">
        <f t="shared" si="30"/>
        <v>Traineeship</v>
      </c>
      <c r="AR35" s="221" t="str">
        <f t="shared" si="30"/>
        <v>Unemployment</v>
      </c>
      <c r="AS35" s="221" t="str">
        <f t="shared" si="30"/>
        <v>Inactivity</v>
      </c>
      <c r="AT35" s="221" t="str">
        <f t="shared" si="30"/>
        <v>Not applicable</v>
      </c>
      <c r="AU35" s="223" t="str">
        <f t="shared" si="30"/>
        <v>Unknown</v>
      </c>
      <c r="AW35" s="224" t="s">
        <v>106</v>
      </c>
      <c r="AX35" s="220"/>
      <c r="AY35" s="212" t="str">
        <f>AY$18</f>
        <v>Total</v>
      </c>
      <c r="AZ35" s="221" t="str">
        <f>AZ$18</f>
        <v>Employment</v>
      </c>
      <c r="BA35" s="221" t="str">
        <f t="shared" ref="BA35:BG35" si="31">BA$18</f>
        <v>Education</v>
      </c>
      <c r="BB35" s="221" t="str">
        <f t="shared" si="31"/>
        <v>Apprenticeship</v>
      </c>
      <c r="BC35" s="221" t="str">
        <f t="shared" si="31"/>
        <v>Traineeship</v>
      </c>
      <c r="BD35" s="221" t="str">
        <f t="shared" si="31"/>
        <v>Unemployment</v>
      </c>
      <c r="BE35" s="221" t="str">
        <f t="shared" si="31"/>
        <v>Inactivity</v>
      </c>
      <c r="BF35" s="221" t="str">
        <f t="shared" si="31"/>
        <v>Not applicable</v>
      </c>
      <c r="BG35" s="223" t="str">
        <f t="shared" si="31"/>
        <v>Unknown</v>
      </c>
      <c r="BI35" s="69" t="str" cm="1">
        <f t="array" ref="BI35">IF(OR(SUM(IF(O36:W39&lt;(O41:W44+O46:W49),1,0)),SUM(IF(C36:K39&lt;(C41:K44+C46:K49),1,0)),SUM(IF(AA36:AI39&lt;(AA41:AI44+AA46:AI49),1,0)), SUM(IF(AM36:AU39&lt;(AM41:AU44+AM46:AU49),1,0)), SUM(IF(AY36:BG39&lt;(AY41:BG44+AY46:BG49),1,0))),"!! Check sum by sex for one or more columns/rows","")</f>
        <v/>
      </c>
      <c r="BK35" s="246"/>
    </row>
    <row r="36" spans="1:63" x14ac:dyDescent="0.35">
      <c r="A36" s="2"/>
      <c r="B36" s="6" t="s">
        <v>441</v>
      </c>
      <c r="C36" s="129"/>
      <c r="D36" s="130"/>
      <c r="E36" s="130"/>
      <c r="F36" s="130"/>
      <c r="G36" s="130"/>
      <c r="H36" s="130"/>
      <c r="I36" s="130"/>
      <c r="J36" s="130"/>
      <c r="K36" s="127">
        <f t="shared" ref="K36:K38" si="32">C36-SUM(D36:G36,H36:I36,J36)</f>
        <v>0</v>
      </c>
      <c r="M36" s="2"/>
      <c r="N36" s="6" t="s">
        <v>441</v>
      </c>
      <c r="O36" s="129"/>
      <c r="P36" s="130"/>
      <c r="Q36" s="130"/>
      <c r="R36" s="130"/>
      <c r="S36" s="130"/>
      <c r="T36" s="130"/>
      <c r="U36" s="130"/>
      <c r="V36" s="130"/>
      <c r="W36" s="127">
        <f t="shared" ref="W36:W38" si="33">O36-SUM(P36:S36,T36:U36,V36)</f>
        <v>0</v>
      </c>
      <c r="Y36" s="2"/>
      <c r="Z36" s="6" t="s">
        <v>441</v>
      </c>
      <c r="AA36" s="129"/>
      <c r="AB36" s="130"/>
      <c r="AC36" s="130"/>
      <c r="AD36" s="130"/>
      <c r="AE36" s="130"/>
      <c r="AF36" s="130"/>
      <c r="AG36" s="130"/>
      <c r="AH36" s="130"/>
      <c r="AI36" s="127">
        <f t="shared" ref="AI36:AI38" si="34">AA36-SUM(AB36:AE36,AF36:AG36,AH36)</f>
        <v>0</v>
      </c>
      <c r="AK36" s="2"/>
      <c r="AL36" s="6" t="s">
        <v>441</v>
      </c>
      <c r="AM36" s="129"/>
      <c r="AN36" s="130"/>
      <c r="AO36" s="130"/>
      <c r="AP36" s="130"/>
      <c r="AQ36" s="130"/>
      <c r="AR36" s="130"/>
      <c r="AS36" s="130"/>
      <c r="AT36" s="130"/>
      <c r="AU36" s="127">
        <f t="shared" ref="AU36:AU38" si="35">AM36-SUM(AN36:AQ36,AR36:AS36,AT36)</f>
        <v>0</v>
      </c>
      <c r="AW36" s="2"/>
      <c r="AX36" s="6" t="s">
        <v>441</v>
      </c>
      <c r="AY36" s="129"/>
      <c r="AZ36" s="130"/>
      <c r="BA36" s="130"/>
      <c r="BB36" s="130"/>
      <c r="BC36" s="130"/>
      <c r="BD36" s="130"/>
      <c r="BE36" s="130"/>
      <c r="BF36" s="130"/>
      <c r="BG36" s="127">
        <f t="shared" ref="BG36:BG38" si="36">AY36-SUM(AZ36:BC36,BD36:BE36,BF36)</f>
        <v>0</v>
      </c>
      <c r="BI36" s="69" t="str">
        <f>IF(OR(K36&lt;0,W36&lt;0,AI36&lt;0,AU36&lt;0,BG36&lt;0),"!! Total must be &gt;= sum by situation",IF(OR(C36&lt;SUM(O36,AA36,AM36,AY36),D36&lt;SUM(P36,AB36,AN36,AZ36),E36&lt;SUM(Q36,AC36,AO36,BA36),F36&lt;SUM(R36,AD36,AP36,BB36),G36&lt;SUM(S36,AE36,AQ36,BC36),H36&lt;SUM(T36,AF36,AR36,BD36),I36&lt;SUM(U36,AG36,AS36,BE36),J36&lt;SUM(V36,AH36,AT36,BF36)),"!! Values in FU1 must be &gt;= sum of values in FU2 - FU5",""))</f>
        <v/>
      </c>
      <c r="BK36" s="246"/>
    </row>
    <row r="37" spans="1:63" x14ac:dyDescent="0.35">
      <c r="A37" s="2"/>
      <c r="B37" s="6" t="s">
        <v>6</v>
      </c>
      <c r="C37" s="129"/>
      <c r="D37" s="130"/>
      <c r="E37" s="130"/>
      <c r="F37" s="130"/>
      <c r="G37" s="130"/>
      <c r="H37" s="130"/>
      <c r="I37" s="130"/>
      <c r="J37" s="130"/>
      <c r="K37" s="127">
        <f t="shared" si="32"/>
        <v>0</v>
      </c>
      <c r="M37" s="2"/>
      <c r="N37" s="6" t="s">
        <v>6</v>
      </c>
      <c r="O37" s="129"/>
      <c r="P37" s="130"/>
      <c r="Q37" s="130"/>
      <c r="R37" s="130"/>
      <c r="S37" s="130"/>
      <c r="T37" s="130"/>
      <c r="U37" s="130"/>
      <c r="V37" s="130"/>
      <c r="W37" s="127">
        <f t="shared" si="33"/>
        <v>0</v>
      </c>
      <c r="Y37" s="2"/>
      <c r="Z37" s="6" t="s">
        <v>6</v>
      </c>
      <c r="AA37" s="129"/>
      <c r="AB37" s="130"/>
      <c r="AC37" s="130"/>
      <c r="AD37" s="130"/>
      <c r="AE37" s="130"/>
      <c r="AF37" s="130"/>
      <c r="AG37" s="130"/>
      <c r="AH37" s="130"/>
      <c r="AI37" s="127">
        <f t="shared" si="34"/>
        <v>0</v>
      </c>
      <c r="AK37" s="2"/>
      <c r="AL37" s="6" t="s">
        <v>6</v>
      </c>
      <c r="AM37" s="129"/>
      <c r="AN37" s="130"/>
      <c r="AO37" s="130"/>
      <c r="AP37" s="130"/>
      <c r="AQ37" s="130"/>
      <c r="AR37" s="130"/>
      <c r="AS37" s="130"/>
      <c r="AT37" s="130"/>
      <c r="AU37" s="127">
        <f t="shared" si="35"/>
        <v>0</v>
      </c>
      <c r="AW37" s="2"/>
      <c r="AX37" s="6" t="s">
        <v>6</v>
      </c>
      <c r="AY37" s="129"/>
      <c r="AZ37" s="130"/>
      <c r="BA37" s="130"/>
      <c r="BB37" s="130"/>
      <c r="BC37" s="130"/>
      <c r="BD37" s="130"/>
      <c r="BE37" s="130"/>
      <c r="BF37" s="130"/>
      <c r="BG37" s="127">
        <f t="shared" si="36"/>
        <v>0</v>
      </c>
      <c r="BI37" s="69" t="str">
        <f>IF(OR(K37&lt;0,W37&lt;0,AI37&lt;0,AU37&lt;0,BG37&lt;0),"!! Total must be &gt;= sum by situation",IF(OR(C37&lt;SUM(O37,AA37,AM37,AY37),D37&lt;SUM(P37,AB37,AN37,AZ37),E37&lt;SUM(Q37,AC37,AO37,BA37),F37&lt;SUM(R37,AD37,AP37,BB37),G37&lt;SUM(S37,AE37,AQ37,BC37),H37&lt;SUM(T37,AF37,AR37,BD37),I37&lt;SUM(U37,AG37,AS37,BE37),J37&lt;SUM(V37,AH37,AT37,BF37)),"!! Values in FU1 must be &gt;= sum of values in FU2 - FU5",""))</f>
        <v/>
      </c>
      <c r="BK37" s="246"/>
    </row>
    <row r="38" spans="1:63" x14ac:dyDescent="0.35">
      <c r="A38" s="2"/>
      <c r="B38" s="6" t="s">
        <v>7</v>
      </c>
      <c r="C38" s="129"/>
      <c r="D38" s="130"/>
      <c r="E38" s="130"/>
      <c r="F38" s="130"/>
      <c r="G38" s="130"/>
      <c r="H38" s="130"/>
      <c r="I38" s="130"/>
      <c r="J38" s="130"/>
      <c r="K38" s="127">
        <f t="shared" si="32"/>
        <v>0</v>
      </c>
      <c r="M38" s="2"/>
      <c r="N38" s="6" t="s">
        <v>7</v>
      </c>
      <c r="O38" s="129"/>
      <c r="P38" s="130"/>
      <c r="Q38" s="130"/>
      <c r="R38" s="130"/>
      <c r="S38" s="130"/>
      <c r="T38" s="130"/>
      <c r="U38" s="130"/>
      <c r="V38" s="130"/>
      <c r="W38" s="127">
        <f t="shared" si="33"/>
        <v>0</v>
      </c>
      <c r="Y38" s="2"/>
      <c r="Z38" s="6" t="s">
        <v>7</v>
      </c>
      <c r="AA38" s="129"/>
      <c r="AB38" s="130"/>
      <c r="AC38" s="130"/>
      <c r="AD38" s="130"/>
      <c r="AE38" s="130"/>
      <c r="AF38" s="130"/>
      <c r="AG38" s="130"/>
      <c r="AH38" s="130"/>
      <c r="AI38" s="127">
        <f t="shared" si="34"/>
        <v>0</v>
      </c>
      <c r="AK38" s="2"/>
      <c r="AL38" s="6" t="s">
        <v>7</v>
      </c>
      <c r="AM38" s="129"/>
      <c r="AN38" s="130"/>
      <c r="AO38" s="130"/>
      <c r="AP38" s="130"/>
      <c r="AQ38" s="130"/>
      <c r="AR38" s="130"/>
      <c r="AS38" s="130"/>
      <c r="AT38" s="130"/>
      <c r="AU38" s="127">
        <f t="shared" si="35"/>
        <v>0</v>
      </c>
      <c r="AW38" s="2"/>
      <c r="AX38" s="6" t="s">
        <v>7</v>
      </c>
      <c r="AY38" s="129"/>
      <c r="AZ38" s="130"/>
      <c r="BA38" s="130"/>
      <c r="BB38" s="130"/>
      <c r="BC38" s="130"/>
      <c r="BD38" s="130"/>
      <c r="BE38" s="130"/>
      <c r="BF38" s="130"/>
      <c r="BG38" s="127">
        <f t="shared" si="36"/>
        <v>0</v>
      </c>
      <c r="BI38" s="69" t="str">
        <f t="shared" ref="BI38:BI39" si="37">IF(OR(K38&lt;0,W38&lt;0,AI38&lt;0,AU38&lt;0,BG38&lt;0),"!! Total must be &gt;= sum by situation",IF(OR(C38&lt;SUM(O38,AA38,AM38,AY38),D38&lt;SUM(P38,AB38,AN38,AZ38),E38&lt;SUM(Q38,AC38,AO38,BA38),F38&lt;SUM(R38,AD38,AP38,BB38),G38&lt;SUM(S38,AE38,AQ38,BC38),H38&lt;SUM(T38,AF38,AR38,BD38),I38&lt;SUM(U38,AG38,AS38,BE38),J38&lt;SUM(V38,AH38,AT38,BF38)),"!! Values in FU1 must be &gt;= sum of values in FU2 - FU5",""))</f>
        <v/>
      </c>
      <c r="BK38" s="246"/>
    </row>
    <row r="39" spans="1:63" x14ac:dyDescent="0.35">
      <c r="A39" s="2"/>
      <c r="B39" s="6" t="s">
        <v>440</v>
      </c>
      <c r="C39" s="129"/>
      <c r="D39" s="130"/>
      <c r="E39" s="130"/>
      <c r="F39" s="130"/>
      <c r="G39" s="130"/>
      <c r="H39" s="130"/>
      <c r="I39" s="130"/>
      <c r="J39" s="130"/>
      <c r="K39" s="127">
        <f>C39-SUM(D39:G39,H39:I39,J39)</f>
        <v>0</v>
      </c>
      <c r="M39" s="2"/>
      <c r="N39" s="6" t="s">
        <v>440</v>
      </c>
      <c r="O39" s="129"/>
      <c r="P39" s="130"/>
      <c r="Q39" s="130"/>
      <c r="R39" s="130"/>
      <c r="S39" s="130"/>
      <c r="T39" s="130"/>
      <c r="U39" s="130"/>
      <c r="V39" s="130"/>
      <c r="W39" s="127">
        <f>O39-SUM(P39:S39,T39:U39,V39)</f>
        <v>0</v>
      </c>
      <c r="Y39" s="2"/>
      <c r="Z39" s="6" t="s">
        <v>440</v>
      </c>
      <c r="AA39" s="129"/>
      <c r="AB39" s="130"/>
      <c r="AC39" s="130"/>
      <c r="AD39" s="130"/>
      <c r="AE39" s="130"/>
      <c r="AF39" s="130"/>
      <c r="AG39" s="130"/>
      <c r="AH39" s="130"/>
      <c r="AI39" s="127">
        <f>AA39-SUM(AB39:AE39,AF39:AG39,AH39)</f>
        <v>0</v>
      </c>
      <c r="AK39" s="2"/>
      <c r="AL39" s="6" t="s">
        <v>440</v>
      </c>
      <c r="AM39" s="129"/>
      <c r="AN39" s="130"/>
      <c r="AO39" s="130"/>
      <c r="AP39" s="130"/>
      <c r="AQ39" s="130"/>
      <c r="AR39" s="130"/>
      <c r="AS39" s="130"/>
      <c r="AT39" s="130"/>
      <c r="AU39" s="127">
        <f>AM39-SUM(AN39:AQ39,AR39:AS39,AT39)</f>
        <v>0</v>
      </c>
      <c r="AW39" s="2"/>
      <c r="AX39" s="6" t="s">
        <v>440</v>
      </c>
      <c r="AY39" s="129"/>
      <c r="AZ39" s="130"/>
      <c r="BA39" s="130"/>
      <c r="BB39" s="130"/>
      <c r="BC39" s="130"/>
      <c r="BD39" s="130"/>
      <c r="BE39" s="130"/>
      <c r="BF39" s="130"/>
      <c r="BG39" s="127">
        <f>AY39-SUM(AZ39:BC39,BD39:BE39,BF39)</f>
        <v>0</v>
      </c>
      <c r="BI39" s="69" t="str">
        <f t="shared" si="37"/>
        <v/>
      </c>
      <c r="BK39" s="246"/>
    </row>
    <row r="40" spans="1:63" x14ac:dyDescent="0.35">
      <c r="A40" s="4" t="s">
        <v>4</v>
      </c>
      <c r="B40" s="220"/>
      <c r="C40" s="212" t="str">
        <f>C$18</f>
        <v>Total</v>
      </c>
      <c r="D40" s="221" t="str">
        <f>D$18</f>
        <v>Employment</v>
      </c>
      <c r="E40" s="221" t="str">
        <f t="shared" ref="E40:K40" si="38">E$18</f>
        <v>Education</v>
      </c>
      <c r="F40" s="221" t="str">
        <f t="shared" si="38"/>
        <v>Apprenticeship</v>
      </c>
      <c r="G40" s="221" t="str">
        <f t="shared" si="38"/>
        <v>Traineeship</v>
      </c>
      <c r="H40" s="221" t="str">
        <f t="shared" si="38"/>
        <v>Unemployment</v>
      </c>
      <c r="I40" s="221" t="str">
        <f t="shared" si="38"/>
        <v>Inactivity</v>
      </c>
      <c r="J40" s="221" t="str">
        <f t="shared" si="38"/>
        <v>Not applicable</v>
      </c>
      <c r="K40" s="223" t="str">
        <f t="shared" si="38"/>
        <v>Unknown</v>
      </c>
      <c r="M40" s="224" t="s">
        <v>4</v>
      </c>
      <c r="N40" s="220"/>
      <c r="O40" s="212" t="str">
        <f>O$18</f>
        <v>Total</v>
      </c>
      <c r="P40" s="221" t="str">
        <f>P$18</f>
        <v>Employment</v>
      </c>
      <c r="Q40" s="221" t="str">
        <f t="shared" ref="Q40:W40" si="39">Q$18</f>
        <v>Education</v>
      </c>
      <c r="R40" s="221" t="str">
        <f t="shared" si="39"/>
        <v>Apprenticeship</v>
      </c>
      <c r="S40" s="221" t="str">
        <f t="shared" si="39"/>
        <v>Traineeship</v>
      </c>
      <c r="T40" s="221" t="str">
        <f t="shared" si="39"/>
        <v>Unemployment</v>
      </c>
      <c r="U40" s="221" t="str">
        <f t="shared" si="39"/>
        <v>Inactivity</v>
      </c>
      <c r="V40" s="221" t="str">
        <f t="shared" si="39"/>
        <v>Not applicable</v>
      </c>
      <c r="W40" s="223" t="str">
        <f t="shared" si="39"/>
        <v>Unknown</v>
      </c>
      <c r="Y40" s="224" t="s">
        <v>4</v>
      </c>
      <c r="Z40" s="220"/>
      <c r="AA40" s="212" t="str">
        <f>AA$18</f>
        <v>Total</v>
      </c>
      <c r="AB40" s="221" t="str">
        <f>AB$18</f>
        <v>Employment</v>
      </c>
      <c r="AC40" s="221" t="str">
        <f t="shared" ref="AC40:AI40" si="40">AC$18</f>
        <v>Education</v>
      </c>
      <c r="AD40" s="221" t="str">
        <f t="shared" si="40"/>
        <v>Apprenticeship</v>
      </c>
      <c r="AE40" s="221" t="str">
        <f t="shared" si="40"/>
        <v>Traineeship</v>
      </c>
      <c r="AF40" s="221" t="str">
        <f t="shared" si="40"/>
        <v>Unemployment</v>
      </c>
      <c r="AG40" s="221" t="str">
        <f t="shared" si="40"/>
        <v>Inactivity</v>
      </c>
      <c r="AH40" s="221" t="str">
        <f t="shared" si="40"/>
        <v>Not applicable</v>
      </c>
      <c r="AI40" s="223" t="str">
        <f t="shared" si="40"/>
        <v>Unknown</v>
      </c>
      <c r="AK40" s="224" t="s">
        <v>4</v>
      </c>
      <c r="AL40" s="220"/>
      <c r="AM40" s="212" t="str">
        <f>AM$18</f>
        <v>Total</v>
      </c>
      <c r="AN40" s="221" t="str">
        <f>AN$18</f>
        <v>Employment</v>
      </c>
      <c r="AO40" s="221" t="str">
        <f t="shared" ref="AO40:AU40" si="41">AO$18</f>
        <v>Education</v>
      </c>
      <c r="AP40" s="221" t="str">
        <f t="shared" si="41"/>
        <v>Apprenticeship</v>
      </c>
      <c r="AQ40" s="221" t="str">
        <f t="shared" si="41"/>
        <v>Traineeship</v>
      </c>
      <c r="AR40" s="221" t="str">
        <f t="shared" si="41"/>
        <v>Unemployment</v>
      </c>
      <c r="AS40" s="221" t="str">
        <f t="shared" si="41"/>
        <v>Inactivity</v>
      </c>
      <c r="AT40" s="221" t="str">
        <f t="shared" si="41"/>
        <v>Not applicable</v>
      </c>
      <c r="AU40" s="223" t="str">
        <f t="shared" si="41"/>
        <v>Unknown</v>
      </c>
      <c r="AW40" s="224" t="s">
        <v>4</v>
      </c>
      <c r="AX40" s="220"/>
      <c r="AY40" s="212" t="str">
        <f>AY$18</f>
        <v>Total</v>
      </c>
      <c r="AZ40" s="221" t="str">
        <f>AZ$18</f>
        <v>Employment</v>
      </c>
      <c r="BA40" s="221" t="str">
        <f t="shared" ref="BA40:BG40" si="42">BA$18</f>
        <v>Education</v>
      </c>
      <c r="BB40" s="221" t="str">
        <f t="shared" si="42"/>
        <v>Apprenticeship</v>
      </c>
      <c r="BC40" s="221" t="str">
        <f t="shared" si="42"/>
        <v>Traineeship</v>
      </c>
      <c r="BD40" s="221" t="str">
        <f t="shared" si="42"/>
        <v>Unemployment</v>
      </c>
      <c r="BE40" s="221" t="str">
        <f t="shared" si="42"/>
        <v>Inactivity</v>
      </c>
      <c r="BF40" s="221" t="str">
        <f t="shared" si="42"/>
        <v>Not applicable</v>
      </c>
      <c r="BG40" s="223" t="str">
        <f t="shared" si="42"/>
        <v>Unknown</v>
      </c>
      <c r="BI40" s="69"/>
      <c r="BK40" s="246"/>
    </row>
    <row r="41" spans="1:63" x14ac:dyDescent="0.35">
      <c r="A41" s="2"/>
      <c r="B41" s="6" t="s">
        <v>441</v>
      </c>
      <c r="C41" s="129"/>
      <c r="D41" s="130"/>
      <c r="E41" s="131"/>
      <c r="F41" s="131"/>
      <c r="G41" s="131"/>
      <c r="H41" s="131"/>
      <c r="I41" s="131"/>
      <c r="J41" s="131"/>
      <c r="K41" s="127">
        <f t="shared" ref="K41:K44" si="43">C41-SUM(D41:G41,H41:I41,J41)</f>
        <v>0</v>
      </c>
      <c r="M41" s="2"/>
      <c r="N41" s="6" t="s">
        <v>441</v>
      </c>
      <c r="O41" s="129"/>
      <c r="P41" s="130"/>
      <c r="Q41" s="131"/>
      <c r="R41" s="131"/>
      <c r="S41" s="131"/>
      <c r="T41" s="131"/>
      <c r="U41" s="131"/>
      <c r="V41" s="131"/>
      <c r="W41" s="127">
        <f t="shared" ref="W41:W44" si="44">O41-SUM(P41:S41,T41:U41,V41)</f>
        <v>0</v>
      </c>
      <c r="Y41" s="2"/>
      <c r="Z41" s="6" t="s">
        <v>441</v>
      </c>
      <c r="AA41" s="129"/>
      <c r="AB41" s="130"/>
      <c r="AC41" s="131"/>
      <c r="AD41" s="131"/>
      <c r="AE41" s="131"/>
      <c r="AF41" s="131"/>
      <c r="AG41" s="131"/>
      <c r="AH41" s="131"/>
      <c r="AI41" s="127">
        <f t="shared" ref="AI41:AI44" si="45">AA41-SUM(AB41:AE41,AF41:AG41,AH41)</f>
        <v>0</v>
      </c>
      <c r="AK41" s="2"/>
      <c r="AL41" s="6" t="s">
        <v>441</v>
      </c>
      <c r="AM41" s="129"/>
      <c r="AN41" s="130"/>
      <c r="AO41" s="131"/>
      <c r="AP41" s="131"/>
      <c r="AQ41" s="131"/>
      <c r="AR41" s="131"/>
      <c r="AS41" s="131"/>
      <c r="AT41" s="131"/>
      <c r="AU41" s="127">
        <f t="shared" ref="AU41:AU44" si="46">AM41-SUM(AN41:AQ41,AR41:AS41,AT41)</f>
        <v>0</v>
      </c>
      <c r="AW41" s="2"/>
      <c r="AX41" s="6" t="s">
        <v>441</v>
      </c>
      <c r="AY41" s="129"/>
      <c r="AZ41" s="130"/>
      <c r="BA41" s="131"/>
      <c r="BB41" s="131"/>
      <c r="BC41" s="131"/>
      <c r="BD41" s="131"/>
      <c r="BE41" s="131"/>
      <c r="BF41" s="131"/>
      <c r="BG41" s="127">
        <f t="shared" ref="BG41:BG44" si="47">AY41-SUM(AZ41:BC41,BD41:BE41,BF41)</f>
        <v>0</v>
      </c>
      <c r="BI41" s="69" t="str">
        <f>IF(OR(K41&lt;0,W41&lt;0,AI41&lt;0,AU41&lt;0,BG41&lt;0),"!! Total must be &gt;= sum by situation",IF(OR(C41&lt;SUM(O41,AA41,AM41,AY41),D41&lt;SUM(P41,AB41,AN41,AZ41),E41&lt;SUM(Q41,AC41,AO41,BA41),F41&lt;SUM(R41,AD41,AP41,BB41),G41&lt;SUM(S41,AE41,AQ41,BC41),H41&lt;SUM(T41,AF41,AR41,BD41),I41&lt;SUM(U41,AG41,AS41,BE41),J41&lt;SUM(V41,AH41,AT41,BF41)),"!! Values in FU1 must be &gt;= sum of values in FU2 - FU5",""))</f>
        <v/>
      </c>
      <c r="BK41" s="246"/>
    </row>
    <row r="42" spans="1:63" x14ac:dyDescent="0.35">
      <c r="A42" s="2"/>
      <c r="B42" s="6" t="s">
        <v>6</v>
      </c>
      <c r="C42" s="129"/>
      <c r="D42" s="130"/>
      <c r="E42" s="131"/>
      <c r="F42" s="131"/>
      <c r="G42" s="131"/>
      <c r="H42" s="131"/>
      <c r="I42" s="131"/>
      <c r="J42" s="131"/>
      <c r="K42" s="127">
        <f t="shared" si="43"/>
        <v>0</v>
      </c>
      <c r="M42" s="2"/>
      <c r="N42" s="6" t="s">
        <v>6</v>
      </c>
      <c r="O42" s="129"/>
      <c r="P42" s="130"/>
      <c r="Q42" s="131"/>
      <c r="R42" s="131"/>
      <c r="S42" s="131"/>
      <c r="T42" s="131"/>
      <c r="U42" s="131"/>
      <c r="V42" s="131"/>
      <c r="W42" s="127">
        <f t="shared" si="44"/>
        <v>0</v>
      </c>
      <c r="Y42" s="2"/>
      <c r="Z42" s="6" t="s">
        <v>6</v>
      </c>
      <c r="AA42" s="129"/>
      <c r="AB42" s="130"/>
      <c r="AC42" s="131"/>
      <c r="AD42" s="131"/>
      <c r="AE42" s="131"/>
      <c r="AF42" s="131"/>
      <c r="AG42" s="131"/>
      <c r="AH42" s="131"/>
      <c r="AI42" s="127">
        <f t="shared" si="45"/>
        <v>0</v>
      </c>
      <c r="AK42" s="2"/>
      <c r="AL42" s="6" t="s">
        <v>6</v>
      </c>
      <c r="AM42" s="129"/>
      <c r="AN42" s="130"/>
      <c r="AO42" s="131"/>
      <c r="AP42" s="131"/>
      <c r="AQ42" s="131"/>
      <c r="AR42" s="131"/>
      <c r="AS42" s="131"/>
      <c r="AT42" s="131"/>
      <c r="AU42" s="127">
        <f t="shared" si="46"/>
        <v>0</v>
      </c>
      <c r="AW42" s="2"/>
      <c r="AX42" s="6" t="s">
        <v>6</v>
      </c>
      <c r="AY42" s="129"/>
      <c r="AZ42" s="130"/>
      <c r="BA42" s="131"/>
      <c r="BB42" s="131"/>
      <c r="BC42" s="131"/>
      <c r="BD42" s="131"/>
      <c r="BE42" s="131"/>
      <c r="BF42" s="131"/>
      <c r="BG42" s="127">
        <f t="shared" si="47"/>
        <v>0</v>
      </c>
      <c r="BI42" s="69" t="str">
        <f>IF(OR(K42&lt;0,W42&lt;0,AI42&lt;0,AU42&lt;0,BG42&lt;0),"!! Total must be &gt;= sum by situation",IF(OR(C42&lt;SUM(O42,AA42,AM42,AY42),D42&lt;SUM(P42,AB42,AN42,AZ42),E42&lt;SUM(Q42,AC42,AO42,BA42),F42&lt;SUM(R42,AD42,AP42,BB42),G42&lt;SUM(S42,AE42,AQ42,BC42),H42&lt;SUM(T42,AF42,AR42,BD42),I42&lt;SUM(U42,AG42,AS42,BE42),J42&lt;SUM(V42,AH42,AT42,BF42)),"!! Values in FU1 must be &gt;= sum of values in FU2 - FU5",""))</f>
        <v/>
      </c>
      <c r="BK42" s="246"/>
    </row>
    <row r="43" spans="1:63" x14ac:dyDescent="0.35">
      <c r="A43" s="2"/>
      <c r="B43" s="6" t="s">
        <v>7</v>
      </c>
      <c r="C43" s="129"/>
      <c r="D43" s="130"/>
      <c r="E43" s="130"/>
      <c r="F43" s="130"/>
      <c r="G43" s="130"/>
      <c r="H43" s="130"/>
      <c r="I43" s="130"/>
      <c r="J43" s="130"/>
      <c r="K43" s="127">
        <f t="shared" si="43"/>
        <v>0</v>
      </c>
      <c r="M43" s="2"/>
      <c r="N43" s="6" t="s">
        <v>7</v>
      </c>
      <c r="O43" s="129"/>
      <c r="P43" s="130"/>
      <c r="Q43" s="130"/>
      <c r="R43" s="130"/>
      <c r="S43" s="130"/>
      <c r="T43" s="130"/>
      <c r="U43" s="130"/>
      <c r="V43" s="130"/>
      <c r="W43" s="127">
        <f t="shared" si="44"/>
        <v>0</v>
      </c>
      <c r="Y43" s="2"/>
      <c r="Z43" s="6" t="s">
        <v>7</v>
      </c>
      <c r="AA43" s="129"/>
      <c r="AB43" s="130"/>
      <c r="AC43" s="130"/>
      <c r="AD43" s="130"/>
      <c r="AE43" s="130"/>
      <c r="AF43" s="130"/>
      <c r="AG43" s="130"/>
      <c r="AH43" s="130"/>
      <c r="AI43" s="127">
        <f t="shared" si="45"/>
        <v>0</v>
      </c>
      <c r="AK43" s="2"/>
      <c r="AL43" s="6" t="s">
        <v>7</v>
      </c>
      <c r="AM43" s="129"/>
      <c r="AN43" s="130"/>
      <c r="AO43" s="130"/>
      <c r="AP43" s="130"/>
      <c r="AQ43" s="130"/>
      <c r="AR43" s="130"/>
      <c r="AS43" s="130"/>
      <c r="AT43" s="130"/>
      <c r="AU43" s="127">
        <f t="shared" si="46"/>
        <v>0</v>
      </c>
      <c r="AW43" s="2"/>
      <c r="AX43" s="6" t="s">
        <v>7</v>
      </c>
      <c r="AY43" s="129"/>
      <c r="AZ43" s="130"/>
      <c r="BA43" s="130"/>
      <c r="BB43" s="130"/>
      <c r="BC43" s="130"/>
      <c r="BD43" s="130"/>
      <c r="BE43" s="130"/>
      <c r="BF43" s="130"/>
      <c r="BG43" s="127">
        <f t="shared" si="47"/>
        <v>0</v>
      </c>
      <c r="BI43" s="69" t="str">
        <f t="shared" ref="BI43:BI44" si="48">IF(OR(K43&lt;0,W43&lt;0,AI43&lt;0,AU43&lt;0,BG43&lt;0),"!! Total must be &gt;= sum by situation",IF(OR(C43&lt;SUM(O43,AA43,AM43,AY43),D43&lt;SUM(P43,AB43,AN43,AZ43),E43&lt;SUM(Q43,AC43,AO43,BA43),F43&lt;SUM(R43,AD43,AP43,BB43),G43&lt;SUM(S43,AE43,AQ43,BC43),H43&lt;SUM(T43,AF43,AR43,BD43),I43&lt;SUM(U43,AG43,AS43,BE43),J43&lt;SUM(V43,AH43,AT43,BF43)),"!! Values in FU1 must be &gt;= sum of values in FU2 - FU5",""))</f>
        <v/>
      </c>
      <c r="BK43" s="246"/>
    </row>
    <row r="44" spans="1:63" x14ac:dyDescent="0.35">
      <c r="A44" s="2"/>
      <c r="B44" s="6" t="s">
        <v>440</v>
      </c>
      <c r="C44" s="129"/>
      <c r="D44" s="130"/>
      <c r="E44" s="131"/>
      <c r="F44" s="131"/>
      <c r="G44" s="131"/>
      <c r="H44" s="131"/>
      <c r="I44" s="131"/>
      <c r="J44" s="131"/>
      <c r="K44" s="127">
        <f t="shared" si="43"/>
        <v>0</v>
      </c>
      <c r="M44" s="2"/>
      <c r="N44" s="6" t="s">
        <v>440</v>
      </c>
      <c r="O44" s="129"/>
      <c r="P44" s="130"/>
      <c r="Q44" s="131"/>
      <c r="R44" s="131"/>
      <c r="S44" s="131"/>
      <c r="T44" s="131"/>
      <c r="U44" s="131"/>
      <c r="V44" s="131"/>
      <c r="W44" s="127">
        <f t="shared" si="44"/>
        <v>0</v>
      </c>
      <c r="Y44" s="2"/>
      <c r="Z44" s="6" t="s">
        <v>440</v>
      </c>
      <c r="AA44" s="129"/>
      <c r="AB44" s="130"/>
      <c r="AC44" s="131"/>
      <c r="AD44" s="131"/>
      <c r="AE44" s="131"/>
      <c r="AF44" s="131"/>
      <c r="AG44" s="131"/>
      <c r="AH44" s="131"/>
      <c r="AI44" s="127">
        <f t="shared" si="45"/>
        <v>0</v>
      </c>
      <c r="AK44" s="2"/>
      <c r="AL44" s="6" t="s">
        <v>440</v>
      </c>
      <c r="AM44" s="129"/>
      <c r="AN44" s="130"/>
      <c r="AO44" s="131"/>
      <c r="AP44" s="131"/>
      <c r="AQ44" s="131"/>
      <c r="AR44" s="131"/>
      <c r="AS44" s="131"/>
      <c r="AT44" s="131"/>
      <c r="AU44" s="127">
        <f t="shared" si="46"/>
        <v>0</v>
      </c>
      <c r="AW44" s="2"/>
      <c r="AX44" s="6" t="s">
        <v>440</v>
      </c>
      <c r="AY44" s="129"/>
      <c r="AZ44" s="130"/>
      <c r="BA44" s="131"/>
      <c r="BB44" s="131"/>
      <c r="BC44" s="131"/>
      <c r="BD44" s="131"/>
      <c r="BE44" s="131"/>
      <c r="BF44" s="131"/>
      <c r="BG44" s="127">
        <f t="shared" si="47"/>
        <v>0</v>
      </c>
      <c r="BI44" s="69" t="str">
        <f t="shared" si="48"/>
        <v/>
      </c>
      <c r="BK44" s="246"/>
    </row>
    <row r="45" spans="1:63" x14ac:dyDescent="0.35">
      <c r="A45" s="224" t="s">
        <v>5</v>
      </c>
      <c r="B45" s="220"/>
      <c r="C45" s="212" t="str">
        <f>C$18</f>
        <v>Total</v>
      </c>
      <c r="D45" s="221" t="str">
        <f>D$18</f>
        <v>Employment</v>
      </c>
      <c r="E45" s="221" t="str">
        <f t="shared" ref="E45:K45" si="49">E$18</f>
        <v>Education</v>
      </c>
      <c r="F45" s="221" t="str">
        <f t="shared" si="49"/>
        <v>Apprenticeship</v>
      </c>
      <c r="G45" s="221" t="str">
        <f t="shared" si="49"/>
        <v>Traineeship</v>
      </c>
      <c r="H45" s="221" t="str">
        <f t="shared" si="49"/>
        <v>Unemployment</v>
      </c>
      <c r="I45" s="221" t="str">
        <f t="shared" si="49"/>
        <v>Inactivity</v>
      </c>
      <c r="J45" s="221" t="str">
        <f t="shared" si="49"/>
        <v>Not applicable</v>
      </c>
      <c r="K45" s="223" t="str">
        <f t="shared" si="49"/>
        <v>Unknown</v>
      </c>
      <c r="M45" s="224" t="s">
        <v>5</v>
      </c>
      <c r="N45" s="220"/>
      <c r="O45" s="212" t="str">
        <f>O$18</f>
        <v>Total</v>
      </c>
      <c r="P45" s="221" t="str">
        <f>P$18</f>
        <v>Employment</v>
      </c>
      <c r="Q45" s="221" t="str">
        <f t="shared" ref="Q45:W45" si="50">Q$18</f>
        <v>Education</v>
      </c>
      <c r="R45" s="221" t="str">
        <f t="shared" si="50"/>
        <v>Apprenticeship</v>
      </c>
      <c r="S45" s="221" t="str">
        <f t="shared" si="50"/>
        <v>Traineeship</v>
      </c>
      <c r="T45" s="221" t="str">
        <f t="shared" si="50"/>
        <v>Unemployment</v>
      </c>
      <c r="U45" s="221" t="str">
        <f t="shared" si="50"/>
        <v>Inactivity</v>
      </c>
      <c r="V45" s="221" t="str">
        <f t="shared" si="50"/>
        <v>Not applicable</v>
      </c>
      <c r="W45" s="223" t="str">
        <f t="shared" si="50"/>
        <v>Unknown</v>
      </c>
      <c r="Y45" s="224" t="s">
        <v>5</v>
      </c>
      <c r="Z45" s="220"/>
      <c r="AA45" s="212" t="str">
        <f>AA$18</f>
        <v>Total</v>
      </c>
      <c r="AB45" s="221" t="str">
        <f>AB$18</f>
        <v>Employment</v>
      </c>
      <c r="AC45" s="221" t="str">
        <f t="shared" ref="AC45:AI45" si="51">AC$18</f>
        <v>Education</v>
      </c>
      <c r="AD45" s="221" t="str">
        <f t="shared" si="51"/>
        <v>Apprenticeship</v>
      </c>
      <c r="AE45" s="221" t="str">
        <f t="shared" si="51"/>
        <v>Traineeship</v>
      </c>
      <c r="AF45" s="221" t="str">
        <f t="shared" si="51"/>
        <v>Unemployment</v>
      </c>
      <c r="AG45" s="221" t="str">
        <f t="shared" si="51"/>
        <v>Inactivity</v>
      </c>
      <c r="AH45" s="221" t="str">
        <f t="shared" si="51"/>
        <v>Not applicable</v>
      </c>
      <c r="AI45" s="223" t="str">
        <f t="shared" si="51"/>
        <v>Unknown</v>
      </c>
      <c r="AK45" s="224" t="s">
        <v>5</v>
      </c>
      <c r="AL45" s="220"/>
      <c r="AM45" s="212" t="str">
        <f>AM$18</f>
        <v>Total</v>
      </c>
      <c r="AN45" s="221" t="str">
        <f>AN$18</f>
        <v>Employment</v>
      </c>
      <c r="AO45" s="221" t="str">
        <f t="shared" ref="AO45:AU45" si="52">AO$18</f>
        <v>Education</v>
      </c>
      <c r="AP45" s="221" t="str">
        <f t="shared" si="52"/>
        <v>Apprenticeship</v>
      </c>
      <c r="AQ45" s="221" t="str">
        <f t="shared" si="52"/>
        <v>Traineeship</v>
      </c>
      <c r="AR45" s="221" t="str">
        <f t="shared" si="52"/>
        <v>Unemployment</v>
      </c>
      <c r="AS45" s="221" t="str">
        <f t="shared" si="52"/>
        <v>Inactivity</v>
      </c>
      <c r="AT45" s="221" t="str">
        <f t="shared" si="52"/>
        <v>Not applicable</v>
      </c>
      <c r="AU45" s="223" t="str">
        <f t="shared" si="52"/>
        <v>Unknown</v>
      </c>
      <c r="AW45" s="224" t="s">
        <v>5</v>
      </c>
      <c r="AX45" s="220"/>
      <c r="AY45" s="212" t="str">
        <f>AY$18</f>
        <v>Total</v>
      </c>
      <c r="AZ45" s="221" t="str">
        <f>AZ$18</f>
        <v>Employment</v>
      </c>
      <c r="BA45" s="221" t="str">
        <f t="shared" ref="BA45:BG45" si="53">BA$18</f>
        <v>Education</v>
      </c>
      <c r="BB45" s="221" t="str">
        <f t="shared" si="53"/>
        <v>Apprenticeship</v>
      </c>
      <c r="BC45" s="221" t="str">
        <f t="shared" si="53"/>
        <v>Traineeship</v>
      </c>
      <c r="BD45" s="221" t="str">
        <f t="shared" si="53"/>
        <v>Unemployment</v>
      </c>
      <c r="BE45" s="221" t="str">
        <f t="shared" si="53"/>
        <v>Inactivity</v>
      </c>
      <c r="BF45" s="221" t="str">
        <f t="shared" si="53"/>
        <v>Not applicable</v>
      </c>
      <c r="BG45" s="223" t="str">
        <f t="shared" si="53"/>
        <v>Unknown</v>
      </c>
      <c r="BI45" s="69"/>
      <c r="BK45" s="246"/>
    </row>
    <row r="46" spans="1:63" x14ac:dyDescent="0.35">
      <c r="A46" s="2"/>
      <c r="B46" s="6" t="s">
        <v>441</v>
      </c>
      <c r="C46" s="129"/>
      <c r="D46" s="130"/>
      <c r="E46" s="131"/>
      <c r="F46" s="131"/>
      <c r="G46" s="131"/>
      <c r="H46" s="131"/>
      <c r="I46" s="131"/>
      <c r="J46" s="131"/>
      <c r="K46" s="127">
        <f t="shared" ref="K46:K49" si="54">C46-SUM(D46:G46,H46:I46,J46)</f>
        <v>0</v>
      </c>
      <c r="M46" s="2"/>
      <c r="N46" s="6" t="s">
        <v>441</v>
      </c>
      <c r="O46" s="129"/>
      <c r="P46" s="130"/>
      <c r="Q46" s="131"/>
      <c r="R46" s="131"/>
      <c r="S46" s="131"/>
      <c r="T46" s="131"/>
      <c r="U46" s="131"/>
      <c r="V46" s="131"/>
      <c r="W46" s="127">
        <f t="shared" ref="W46:W49" si="55">O46-SUM(P46:S46,T46:U46,V46)</f>
        <v>0</v>
      </c>
      <c r="Y46" s="2"/>
      <c r="Z46" s="6" t="s">
        <v>441</v>
      </c>
      <c r="AA46" s="129"/>
      <c r="AB46" s="130"/>
      <c r="AC46" s="131"/>
      <c r="AD46" s="131"/>
      <c r="AE46" s="131"/>
      <c r="AF46" s="131"/>
      <c r="AG46" s="131"/>
      <c r="AH46" s="131"/>
      <c r="AI46" s="127">
        <f t="shared" ref="AI46:AI49" si="56">AA46-SUM(AB46:AE46,AF46:AG46,AH46)</f>
        <v>0</v>
      </c>
      <c r="AK46" s="2"/>
      <c r="AL46" s="6" t="s">
        <v>441</v>
      </c>
      <c r="AM46" s="129"/>
      <c r="AN46" s="130"/>
      <c r="AO46" s="131"/>
      <c r="AP46" s="131"/>
      <c r="AQ46" s="131"/>
      <c r="AR46" s="131"/>
      <c r="AS46" s="131"/>
      <c r="AT46" s="131"/>
      <c r="AU46" s="127">
        <f t="shared" ref="AU46:AU49" si="57">AM46-SUM(AN46:AQ46,AR46:AS46,AT46)</f>
        <v>0</v>
      </c>
      <c r="AW46" s="2"/>
      <c r="AX46" s="6" t="s">
        <v>441</v>
      </c>
      <c r="AY46" s="129"/>
      <c r="AZ46" s="130"/>
      <c r="BA46" s="131"/>
      <c r="BB46" s="131"/>
      <c r="BC46" s="131"/>
      <c r="BD46" s="131"/>
      <c r="BE46" s="131"/>
      <c r="BF46" s="131"/>
      <c r="BG46" s="127">
        <f t="shared" ref="BG46:BG49" si="58">AY46-SUM(AZ46:BC46,BD46:BE46,BF46)</f>
        <v>0</v>
      </c>
      <c r="BI46" s="69" t="str">
        <f>IF(OR(K46&lt;0,W46&lt;0,AI46&lt;0,AU46&lt;0,BG46&lt;0),"!! Total must be &gt;= sum by situation",IF(OR(C46&lt;SUM(O46,AA46,AM46,AY46),D46&lt;SUM(P46,AB46,AN46,AZ46),E46&lt;SUM(Q46,AC46,AO46,BA46),F46&lt;SUM(R46,AD46,AP46,BB46),G46&lt;SUM(S46,AE46,AQ46,BC46),H46&lt;SUM(T46,AF46,AR46,BD46),I46&lt;SUM(U46,AG46,AS46,BE46),J46&lt;SUM(V46,AH46,AT46,BF46)),"!! Values in FU1 must be &gt;= sum of values in FU2 - FU5",""))</f>
        <v/>
      </c>
      <c r="BK46" s="246"/>
    </row>
    <row r="47" spans="1:63" x14ac:dyDescent="0.35">
      <c r="A47" s="2"/>
      <c r="B47" s="6" t="s">
        <v>6</v>
      </c>
      <c r="C47" s="129"/>
      <c r="D47" s="130"/>
      <c r="E47" s="131"/>
      <c r="F47" s="131"/>
      <c r="G47" s="131"/>
      <c r="H47" s="131"/>
      <c r="I47" s="131"/>
      <c r="J47" s="131"/>
      <c r="K47" s="127">
        <f t="shared" si="54"/>
        <v>0</v>
      </c>
      <c r="M47" s="2"/>
      <c r="N47" s="6" t="s">
        <v>6</v>
      </c>
      <c r="O47" s="129"/>
      <c r="P47" s="130"/>
      <c r="Q47" s="131"/>
      <c r="R47" s="131"/>
      <c r="S47" s="131"/>
      <c r="T47" s="131"/>
      <c r="U47" s="131"/>
      <c r="V47" s="131"/>
      <c r="W47" s="127">
        <f t="shared" si="55"/>
        <v>0</v>
      </c>
      <c r="Y47" s="2"/>
      <c r="Z47" s="6" t="s">
        <v>6</v>
      </c>
      <c r="AA47" s="129"/>
      <c r="AB47" s="130"/>
      <c r="AC47" s="131"/>
      <c r="AD47" s="131"/>
      <c r="AE47" s="131"/>
      <c r="AF47" s="131"/>
      <c r="AG47" s="131"/>
      <c r="AH47" s="131"/>
      <c r="AI47" s="127">
        <f t="shared" si="56"/>
        <v>0</v>
      </c>
      <c r="AK47" s="2"/>
      <c r="AL47" s="6" t="s">
        <v>6</v>
      </c>
      <c r="AM47" s="129"/>
      <c r="AN47" s="130"/>
      <c r="AO47" s="131"/>
      <c r="AP47" s="131"/>
      <c r="AQ47" s="131"/>
      <c r="AR47" s="131"/>
      <c r="AS47" s="131"/>
      <c r="AT47" s="131"/>
      <c r="AU47" s="127">
        <f t="shared" si="57"/>
        <v>0</v>
      </c>
      <c r="AW47" s="2"/>
      <c r="AX47" s="6" t="s">
        <v>6</v>
      </c>
      <c r="AY47" s="129"/>
      <c r="AZ47" s="130"/>
      <c r="BA47" s="131"/>
      <c r="BB47" s="131"/>
      <c r="BC47" s="131"/>
      <c r="BD47" s="131"/>
      <c r="BE47" s="131"/>
      <c r="BF47" s="131"/>
      <c r="BG47" s="127">
        <f t="shared" si="58"/>
        <v>0</v>
      </c>
      <c r="BI47" s="69" t="str">
        <f>IF(OR(K47&lt;0,W47&lt;0,AI47&lt;0,AU47&lt;0,BG47&lt;0),"!! Total must be &gt;= sum by situation",IF(OR(C47&lt;SUM(O47,AA47,AM47,AY47),D47&lt;SUM(P47,AB47,AN47,AZ47),E47&lt;SUM(Q47,AC47,AO47,BA47),F47&lt;SUM(R47,AD47,AP47,BB47),G47&lt;SUM(S47,AE47,AQ47,BC47),H47&lt;SUM(T47,AF47,AR47,BD47),I47&lt;SUM(U47,AG47,AS47,BE47),J47&lt;SUM(V47,AH47,AT47,BF47)),"!! Values in FU1 must be &gt;= sum of values in FU2 - FU5",""))</f>
        <v/>
      </c>
      <c r="BK47" s="246"/>
    </row>
    <row r="48" spans="1:63" x14ac:dyDescent="0.35">
      <c r="A48" s="2"/>
      <c r="B48" s="6" t="s">
        <v>7</v>
      </c>
      <c r="C48" s="129"/>
      <c r="D48" s="130"/>
      <c r="E48" s="130"/>
      <c r="F48" s="130"/>
      <c r="G48" s="130"/>
      <c r="H48" s="130"/>
      <c r="I48" s="130"/>
      <c r="J48" s="130"/>
      <c r="K48" s="127">
        <f t="shared" si="54"/>
        <v>0</v>
      </c>
      <c r="M48" s="2"/>
      <c r="N48" s="6" t="s">
        <v>7</v>
      </c>
      <c r="O48" s="129"/>
      <c r="P48" s="130"/>
      <c r="Q48" s="130"/>
      <c r="R48" s="130"/>
      <c r="S48" s="130"/>
      <c r="T48" s="130"/>
      <c r="U48" s="130"/>
      <c r="V48" s="130"/>
      <c r="W48" s="127">
        <f t="shared" si="55"/>
        <v>0</v>
      </c>
      <c r="Y48" s="2"/>
      <c r="Z48" s="6" t="s">
        <v>7</v>
      </c>
      <c r="AA48" s="129"/>
      <c r="AB48" s="130"/>
      <c r="AC48" s="130"/>
      <c r="AD48" s="130"/>
      <c r="AE48" s="130"/>
      <c r="AF48" s="130"/>
      <c r="AG48" s="130"/>
      <c r="AH48" s="130"/>
      <c r="AI48" s="127">
        <f t="shared" si="56"/>
        <v>0</v>
      </c>
      <c r="AK48" s="2"/>
      <c r="AL48" s="6" t="s">
        <v>7</v>
      </c>
      <c r="AM48" s="129"/>
      <c r="AN48" s="130"/>
      <c r="AO48" s="130"/>
      <c r="AP48" s="130"/>
      <c r="AQ48" s="130"/>
      <c r="AR48" s="130"/>
      <c r="AS48" s="130"/>
      <c r="AT48" s="130"/>
      <c r="AU48" s="127">
        <f t="shared" si="57"/>
        <v>0</v>
      </c>
      <c r="AW48" s="2"/>
      <c r="AX48" s="6" t="s">
        <v>7</v>
      </c>
      <c r="AY48" s="129"/>
      <c r="AZ48" s="130"/>
      <c r="BA48" s="130"/>
      <c r="BB48" s="130"/>
      <c r="BC48" s="130"/>
      <c r="BD48" s="130"/>
      <c r="BE48" s="130"/>
      <c r="BF48" s="130"/>
      <c r="BG48" s="127">
        <f t="shared" si="58"/>
        <v>0</v>
      </c>
      <c r="BI48" s="69" t="str">
        <f t="shared" ref="BI48:BI49" si="59">IF(OR(K48&lt;0,W48&lt;0,AI48&lt;0,AU48&lt;0,BG48&lt;0),"!! Total must be &gt;= sum by situation",IF(OR(C48&lt;SUM(O48,AA48,AM48,AY48),D48&lt;SUM(P48,AB48,AN48,AZ48),E48&lt;SUM(Q48,AC48,AO48,BA48),F48&lt;SUM(R48,AD48,AP48,BB48),G48&lt;SUM(S48,AE48,AQ48,BC48),H48&lt;SUM(T48,AF48,AR48,BD48),I48&lt;SUM(U48,AG48,AS48,BE48),J48&lt;SUM(V48,AH48,AT48,BF48)),"!! Values in FU1 must be &gt;= sum of values in FU2 - FU5",""))</f>
        <v/>
      </c>
      <c r="BK48" s="246"/>
    </row>
    <row r="49" spans="1:63" ht="15" thickBot="1" x14ac:dyDescent="0.4">
      <c r="A49" s="3"/>
      <c r="B49" s="6" t="s">
        <v>440</v>
      </c>
      <c r="C49" s="133"/>
      <c r="D49" s="133"/>
      <c r="E49" s="134"/>
      <c r="F49" s="134"/>
      <c r="G49" s="134"/>
      <c r="H49" s="134"/>
      <c r="I49" s="134"/>
      <c r="J49" s="134"/>
      <c r="K49" s="128">
        <f t="shared" si="54"/>
        <v>0</v>
      </c>
      <c r="M49" s="3"/>
      <c r="N49" s="6" t="s">
        <v>440</v>
      </c>
      <c r="O49" s="133"/>
      <c r="P49" s="133"/>
      <c r="Q49" s="134"/>
      <c r="R49" s="134"/>
      <c r="S49" s="134"/>
      <c r="T49" s="134"/>
      <c r="U49" s="134"/>
      <c r="V49" s="134"/>
      <c r="W49" s="128">
        <f t="shared" si="55"/>
        <v>0</v>
      </c>
      <c r="Y49" s="3"/>
      <c r="Z49" s="6" t="s">
        <v>440</v>
      </c>
      <c r="AA49" s="133"/>
      <c r="AB49" s="133"/>
      <c r="AC49" s="134"/>
      <c r="AD49" s="134"/>
      <c r="AE49" s="134"/>
      <c r="AF49" s="134"/>
      <c r="AG49" s="134"/>
      <c r="AH49" s="134"/>
      <c r="AI49" s="128">
        <f t="shared" si="56"/>
        <v>0</v>
      </c>
      <c r="AK49" s="3"/>
      <c r="AL49" s="6" t="s">
        <v>440</v>
      </c>
      <c r="AM49" s="133"/>
      <c r="AN49" s="133"/>
      <c r="AO49" s="134"/>
      <c r="AP49" s="134"/>
      <c r="AQ49" s="134"/>
      <c r="AR49" s="134"/>
      <c r="AS49" s="134"/>
      <c r="AT49" s="134"/>
      <c r="AU49" s="128">
        <f t="shared" si="57"/>
        <v>0</v>
      </c>
      <c r="AW49" s="3"/>
      <c r="AX49" s="6" t="s">
        <v>440</v>
      </c>
      <c r="AY49" s="133"/>
      <c r="AZ49" s="133"/>
      <c r="BA49" s="134"/>
      <c r="BB49" s="134"/>
      <c r="BC49" s="134"/>
      <c r="BD49" s="134"/>
      <c r="BE49" s="134"/>
      <c r="BF49" s="134"/>
      <c r="BG49" s="128">
        <f t="shared" si="58"/>
        <v>0</v>
      </c>
      <c r="BI49" s="69" t="str">
        <f t="shared" si="59"/>
        <v/>
      </c>
      <c r="BK49" s="246"/>
    </row>
    <row r="50" spans="1:63" ht="15" thickTop="1" x14ac:dyDescent="0.35">
      <c r="A50" s="117" t="s">
        <v>161</v>
      </c>
      <c r="B50" s="118"/>
      <c r="C50" s="217"/>
      <c r="D50" s="184"/>
      <c r="E50" s="185"/>
      <c r="F50" s="185"/>
      <c r="G50" s="185"/>
      <c r="H50" s="185"/>
      <c r="I50" s="185"/>
      <c r="J50" s="185"/>
      <c r="K50" s="32"/>
      <c r="M50" s="117" t="s">
        <v>161</v>
      </c>
      <c r="N50" s="118"/>
      <c r="O50" s="217"/>
      <c r="P50" s="184"/>
      <c r="Q50" s="185"/>
      <c r="R50" s="185"/>
      <c r="S50" s="185"/>
      <c r="T50" s="185"/>
      <c r="U50" s="185"/>
      <c r="V50" s="185"/>
      <c r="W50" s="32"/>
      <c r="Y50" s="117" t="s">
        <v>161</v>
      </c>
      <c r="Z50" s="118"/>
      <c r="AA50" s="217"/>
      <c r="AB50" s="184"/>
      <c r="AC50" s="185"/>
      <c r="AD50" s="185"/>
      <c r="AE50" s="185"/>
      <c r="AF50" s="185"/>
      <c r="AG50" s="185"/>
      <c r="AH50" s="185"/>
      <c r="AI50" s="32"/>
      <c r="AK50" s="117" t="s">
        <v>161</v>
      </c>
      <c r="AL50" s="118"/>
      <c r="AM50" s="217"/>
      <c r="AN50" s="184"/>
      <c r="AO50" s="185"/>
      <c r="AP50" s="185"/>
      <c r="AQ50" s="185"/>
      <c r="AR50" s="185"/>
      <c r="AS50" s="185"/>
      <c r="AT50" s="185"/>
      <c r="AU50" s="32"/>
      <c r="AW50" s="117" t="s">
        <v>161</v>
      </c>
      <c r="AX50" s="118"/>
      <c r="AY50" s="217"/>
      <c r="AZ50" s="184"/>
      <c r="BA50" s="185"/>
      <c r="BB50" s="185"/>
      <c r="BC50" s="185"/>
      <c r="BD50" s="185"/>
      <c r="BE50" s="185"/>
      <c r="BF50" s="185"/>
      <c r="BG50" s="32"/>
      <c r="BI50" s="69"/>
      <c r="BK50" s="246"/>
    </row>
    <row r="51" spans="1:63" ht="15" hidden="1" customHeight="1" x14ac:dyDescent="0.35">
      <c r="A51" s="14" t="str">
        <f>A50</f>
        <v>18 months after exit</v>
      </c>
      <c r="B51" s="15"/>
      <c r="C51" s="215"/>
      <c r="D51" s="182"/>
      <c r="E51" s="182"/>
      <c r="F51" s="182"/>
      <c r="G51" s="182"/>
      <c r="H51" s="182"/>
      <c r="I51" s="182"/>
      <c r="J51" s="183"/>
      <c r="K51" s="34" t="e">
        <f>#REF!</f>
        <v>#REF!</v>
      </c>
      <c r="M51" s="14" t="str">
        <f>M50</f>
        <v>18 months after exit</v>
      </c>
      <c r="N51" s="15"/>
      <c r="O51" s="215"/>
      <c r="P51" s="182"/>
      <c r="Q51" s="182"/>
      <c r="R51" s="182"/>
      <c r="S51" s="182"/>
      <c r="T51" s="182"/>
      <c r="U51" s="182"/>
      <c r="V51" s="183"/>
      <c r="W51" s="34" t="e">
        <f>#REF!</f>
        <v>#REF!</v>
      </c>
      <c r="Y51" s="14" t="str">
        <f>Y50</f>
        <v>18 months after exit</v>
      </c>
      <c r="Z51" s="15"/>
      <c r="AA51" s="215"/>
      <c r="AB51" s="182"/>
      <c r="AC51" s="182"/>
      <c r="AD51" s="182"/>
      <c r="AE51" s="182"/>
      <c r="AF51" s="182"/>
      <c r="AG51" s="182"/>
      <c r="AH51" s="183"/>
      <c r="AI51" s="34" t="e">
        <f>#REF!</f>
        <v>#REF!</v>
      </c>
      <c r="AK51" s="14" t="str">
        <f>AK50</f>
        <v>18 months after exit</v>
      </c>
      <c r="AL51" s="15"/>
      <c r="AM51" s="215"/>
      <c r="AN51" s="182"/>
      <c r="AO51" s="182"/>
      <c r="AP51" s="182"/>
      <c r="AQ51" s="182"/>
      <c r="AR51" s="182"/>
      <c r="AS51" s="182"/>
      <c r="AT51" s="183"/>
      <c r="AU51" s="34" t="e">
        <f>#REF!</f>
        <v>#REF!</v>
      </c>
      <c r="AW51" s="14" t="str">
        <f>AW50</f>
        <v>18 months after exit</v>
      </c>
      <c r="AX51" s="15"/>
      <c r="AY51" s="215"/>
      <c r="AZ51" s="182"/>
      <c r="BA51" s="182"/>
      <c r="BB51" s="182"/>
      <c r="BC51" s="182"/>
      <c r="BD51" s="182"/>
      <c r="BE51" s="182"/>
      <c r="BF51" s="183"/>
      <c r="BG51" s="34" t="e">
        <f>#REF!</f>
        <v>#REF!</v>
      </c>
      <c r="BI51" s="69"/>
      <c r="BK51" s="246"/>
    </row>
    <row r="52" spans="1:63" x14ac:dyDescent="0.35">
      <c r="A52" s="4" t="s">
        <v>106</v>
      </c>
      <c r="B52" s="220"/>
      <c r="C52" s="212" t="str">
        <f>C$18</f>
        <v>Total</v>
      </c>
      <c r="D52" s="221" t="str">
        <f>D$18</f>
        <v>Employment</v>
      </c>
      <c r="E52" s="221" t="str">
        <f t="shared" ref="E52:K52" si="60">E$18</f>
        <v>Education</v>
      </c>
      <c r="F52" s="221" t="str">
        <f t="shared" si="60"/>
        <v>Apprenticeship</v>
      </c>
      <c r="G52" s="221" t="str">
        <f t="shared" si="60"/>
        <v>Traineeship</v>
      </c>
      <c r="H52" s="221" t="str">
        <f t="shared" si="60"/>
        <v>Unemployment</v>
      </c>
      <c r="I52" s="221" t="str">
        <f t="shared" si="60"/>
        <v>Inactivity</v>
      </c>
      <c r="J52" s="221" t="str">
        <f t="shared" si="60"/>
        <v>Not applicable</v>
      </c>
      <c r="K52" s="223" t="str">
        <f t="shared" si="60"/>
        <v>Unknown</v>
      </c>
      <c r="M52" s="224" t="s">
        <v>106</v>
      </c>
      <c r="N52" s="220"/>
      <c r="O52" s="212" t="str">
        <f>O$18</f>
        <v>Total</v>
      </c>
      <c r="P52" s="221" t="str">
        <f>P$18</f>
        <v>Employment</v>
      </c>
      <c r="Q52" s="221" t="str">
        <f t="shared" ref="Q52:W52" si="61">Q$18</f>
        <v>Education</v>
      </c>
      <c r="R52" s="221" t="str">
        <f t="shared" si="61"/>
        <v>Apprenticeship</v>
      </c>
      <c r="S52" s="221" t="str">
        <f t="shared" si="61"/>
        <v>Traineeship</v>
      </c>
      <c r="T52" s="221" t="str">
        <f t="shared" si="61"/>
        <v>Unemployment</v>
      </c>
      <c r="U52" s="221" t="str">
        <f t="shared" si="61"/>
        <v>Inactivity</v>
      </c>
      <c r="V52" s="221" t="str">
        <f t="shared" si="61"/>
        <v>Not applicable</v>
      </c>
      <c r="W52" s="223" t="str">
        <f t="shared" si="61"/>
        <v>Unknown</v>
      </c>
      <c r="Y52" s="224" t="s">
        <v>106</v>
      </c>
      <c r="Z52" s="220"/>
      <c r="AA52" s="212" t="str">
        <f>AA$18</f>
        <v>Total</v>
      </c>
      <c r="AB52" s="221" t="str">
        <f>AB$18</f>
        <v>Employment</v>
      </c>
      <c r="AC52" s="221" t="str">
        <f t="shared" ref="AC52:AI52" si="62">AC$18</f>
        <v>Education</v>
      </c>
      <c r="AD52" s="221" t="str">
        <f t="shared" si="62"/>
        <v>Apprenticeship</v>
      </c>
      <c r="AE52" s="221" t="str">
        <f t="shared" si="62"/>
        <v>Traineeship</v>
      </c>
      <c r="AF52" s="221" t="str">
        <f t="shared" si="62"/>
        <v>Unemployment</v>
      </c>
      <c r="AG52" s="221" t="str">
        <f t="shared" si="62"/>
        <v>Inactivity</v>
      </c>
      <c r="AH52" s="221" t="str">
        <f t="shared" si="62"/>
        <v>Not applicable</v>
      </c>
      <c r="AI52" s="223" t="str">
        <f t="shared" si="62"/>
        <v>Unknown</v>
      </c>
      <c r="AK52" s="224" t="s">
        <v>106</v>
      </c>
      <c r="AL52" s="220"/>
      <c r="AM52" s="212" t="str">
        <f>AM$18</f>
        <v>Total</v>
      </c>
      <c r="AN52" s="221" t="str">
        <f>AN$18</f>
        <v>Employment</v>
      </c>
      <c r="AO52" s="221" t="str">
        <f t="shared" ref="AO52:AU52" si="63">AO$18</f>
        <v>Education</v>
      </c>
      <c r="AP52" s="221" t="str">
        <f t="shared" si="63"/>
        <v>Apprenticeship</v>
      </c>
      <c r="AQ52" s="221" t="str">
        <f t="shared" si="63"/>
        <v>Traineeship</v>
      </c>
      <c r="AR52" s="221" t="str">
        <f t="shared" si="63"/>
        <v>Unemployment</v>
      </c>
      <c r="AS52" s="221" t="str">
        <f t="shared" si="63"/>
        <v>Inactivity</v>
      </c>
      <c r="AT52" s="221" t="str">
        <f t="shared" si="63"/>
        <v>Not applicable</v>
      </c>
      <c r="AU52" s="223" t="str">
        <f t="shared" si="63"/>
        <v>Unknown</v>
      </c>
      <c r="AW52" s="224" t="s">
        <v>106</v>
      </c>
      <c r="AX52" s="220"/>
      <c r="AY52" s="212" t="str">
        <f>AY$18</f>
        <v>Total</v>
      </c>
      <c r="AZ52" s="221" t="str">
        <f>AZ$18</f>
        <v>Employment</v>
      </c>
      <c r="BA52" s="221" t="str">
        <f t="shared" ref="BA52:BG52" si="64">BA$18</f>
        <v>Education</v>
      </c>
      <c r="BB52" s="221" t="str">
        <f t="shared" si="64"/>
        <v>Apprenticeship</v>
      </c>
      <c r="BC52" s="221" t="str">
        <f t="shared" si="64"/>
        <v>Traineeship</v>
      </c>
      <c r="BD52" s="221" t="str">
        <f t="shared" si="64"/>
        <v>Unemployment</v>
      </c>
      <c r="BE52" s="221" t="str">
        <f t="shared" si="64"/>
        <v>Inactivity</v>
      </c>
      <c r="BF52" s="221" t="str">
        <f t="shared" si="64"/>
        <v>Not applicable</v>
      </c>
      <c r="BG52" s="223" t="str">
        <f t="shared" si="64"/>
        <v>Unknown</v>
      </c>
      <c r="BI52" s="69" t="str" cm="1">
        <f t="array" ref="BI52">IF(OR(SUM(IF(O53:W56&lt;(O58:W61+O63:W66),1,0)),SUM(IF(C53:K56&lt;(C58:K61+C63:K66),1,0)),SUM(IF(AA53:AI56&lt;(AA58:AI61+AA63:AI66),1,0)), SUM(IF(AM53:AU56&lt;(AM58:AU61+AM63:AU66),1,0)), SUM(IF(AY53:BG56&lt;(AY58:BG61+AY63:BG66),1,0))),"!! Check sum by sex for one or more columns/rows","")</f>
        <v/>
      </c>
      <c r="BK52" s="246"/>
    </row>
    <row r="53" spans="1:63" x14ac:dyDescent="0.35">
      <c r="A53" s="2"/>
      <c r="B53" s="6" t="s">
        <v>441</v>
      </c>
      <c r="C53" s="129"/>
      <c r="D53" s="130"/>
      <c r="E53" s="130"/>
      <c r="F53" s="130"/>
      <c r="G53" s="130"/>
      <c r="H53" s="130"/>
      <c r="I53" s="130"/>
      <c r="J53" s="130"/>
      <c r="K53" s="127">
        <f t="shared" ref="K53:K56" si="65">C53-SUM(D53:G53,H53:I53,J53)</f>
        <v>0</v>
      </c>
      <c r="M53" s="2"/>
      <c r="N53" s="6" t="s">
        <v>441</v>
      </c>
      <c r="O53" s="129"/>
      <c r="P53" s="130"/>
      <c r="Q53" s="130"/>
      <c r="R53" s="130"/>
      <c r="S53" s="130"/>
      <c r="T53" s="130"/>
      <c r="U53" s="130"/>
      <c r="V53" s="130"/>
      <c r="W53" s="127">
        <f t="shared" ref="W53:W56" si="66">O53-SUM(P53:S53,T53:U53,V53)</f>
        <v>0</v>
      </c>
      <c r="Y53" s="2"/>
      <c r="Z53" s="6" t="s">
        <v>441</v>
      </c>
      <c r="AA53" s="129"/>
      <c r="AB53" s="130"/>
      <c r="AC53" s="130"/>
      <c r="AD53" s="130"/>
      <c r="AE53" s="130"/>
      <c r="AF53" s="130"/>
      <c r="AG53" s="130"/>
      <c r="AH53" s="130"/>
      <c r="AI53" s="127">
        <f t="shared" ref="AI53:AI56" si="67">AA53-SUM(AB53:AE53,AF53:AG53,AH53)</f>
        <v>0</v>
      </c>
      <c r="AK53" s="2"/>
      <c r="AL53" s="6" t="s">
        <v>441</v>
      </c>
      <c r="AM53" s="129"/>
      <c r="AN53" s="130"/>
      <c r="AO53" s="130"/>
      <c r="AP53" s="130"/>
      <c r="AQ53" s="130"/>
      <c r="AR53" s="130"/>
      <c r="AS53" s="130"/>
      <c r="AT53" s="130"/>
      <c r="AU53" s="127">
        <f t="shared" ref="AU53:AU56" si="68">AM53-SUM(AN53:AQ53,AR53:AS53,AT53)</f>
        <v>0</v>
      </c>
      <c r="AW53" s="2"/>
      <c r="AX53" s="6" t="s">
        <v>441</v>
      </c>
      <c r="AY53" s="129"/>
      <c r="AZ53" s="130"/>
      <c r="BA53" s="130"/>
      <c r="BB53" s="130"/>
      <c r="BC53" s="130"/>
      <c r="BD53" s="130"/>
      <c r="BE53" s="130"/>
      <c r="BF53" s="130"/>
      <c r="BG53" s="127">
        <f t="shared" ref="BG53:BG56" si="69">AY53-SUM(AZ53:BC53,BD53:BE53,BF53)</f>
        <v>0</v>
      </c>
      <c r="BI53" s="69" t="str">
        <f>IF(OR(K53&lt;0,W53&lt;0,AI53&lt;0,AU53&lt;0,BG53&lt;0),"!! Total must be &gt;= sum by situation",IF(OR(C53&lt;SUM(O53,AA53,AM53,AY53),D53&lt;SUM(P53,AB53,AN53,AZ53),E53&lt;SUM(Q53,AC53,AO53,BA53),F53&lt;SUM(R53,AD53,AP53,BB53),G53&lt;SUM(S53,AE53,AQ53,BC53),H53&lt;SUM(T53,AF53,AR53,BD53),I53&lt;SUM(U53,AG53,AS53,BE53),J53&lt;SUM(V53,AH53,AT53,BF53)),"!! Values in FU1 must be &gt;= sum of values in FU2 - FU5",""))</f>
        <v/>
      </c>
      <c r="BK53" s="246"/>
    </row>
    <row r="54" spans="1:63" x14ac:dyDescent="0.35">
      <c r="A54" s="2"/>
      <c r="B54" s="6" t="s">
        <v>6</v>
      </c>
      <c r="C54" s="129"/>
      <c r="D54" s="130"/>
      <c r="E54" s="130"/>
      <c r="F54" s="130"/>
      <c r="G54" s="130"/>
      <c r="H54" s="130"/>
      <c r="I54" s="130"/>
      <c r="J54" s="130"/>
      <c r="K54" s="127">
        <f t="shared" si="65"/>
        <v>0</v>
      </c>
      <c r="M54" s="2"/>
      <c r="N54" s="6" t="s">
        <v>6</v>
      </c>
      <c r="O54" s="129"/>
      <c r="P54" s="130"/>
      <c r="Q54" s="130"/>
      <c r="R54" s="130"/>
      <c r="S54" s="130"/>
      <c r="T54" s="130"/>
      <c r="U54" s="130"/>
      <c r="V54" s="130"/>
      <c r="W54" s="127">
        <f t="shared" si="66"/>
        <v>0</v>
      </c>
      <c r="Y54" s="2"/>
      <c r="Z54" s="6" t="s">
        <v>6</v>
      </c>
      <c r="AA54" s="129"/>
      <c r="AB54" s="130"/>
      <c r="AC54" s="130"/>
      <c r="AD54" s="130"/>
      <c r="AE54" s="130"/>
      <c r="AF54" s="130"/>
      <c r="AG54" s="130"/>
      <c r="AH54" s="130"/>
      <c r="AI54" s="127">
        <f t="shared" si="67"/>
        <v>0</v>
      </c>
      <c r="AK54" s="2"/>
      <c r="AL54" s="6" t="s">
        <v>6</v>
      </c>
      <c r="AM54" s="129"/>
      <c r="AN54" s="130"/>
      <c r="AO54" s="130"/>
      <c r="AP54" s="130"/>
      <c r="AQ54" s="130"/>
      <c r="AR54" s="130"/>
      <c r="AS54" s="130"/>
      <c r="AT54" s="130"/>
      <c r="AU54" s="127">
        <f t="shared" si="68"/>
        <v>0</v>
      </c>
      <c r="AW54" s="2"/>
      <c r="AX54" s="6" t="s">
        <v>6</v>
      </c>
      <c r="AY54" s="129"/>
      <c r="AZ54" s="130"/>
      <c r="BA54" s="130"/>
      <c r="BB54" s="130"/>
      <c r="BC54" s="130"/>
      <c r="BD54" s="130"/>
      <c r="BE54" s="130"/>
      <c r="BF54" s="130"/>
      <c r="BG54" s="127">
        <f t="shared" si="69"/>
        <v>0</v>
      </c>
      <c r="BI54" s="69" t="str">
        <f>IF(OR(K54&lt;0,W54&lt;0,AI54&lt;0,AU54&lt;0,BG54&lt;0),"!! Total must be &gt;= sum by situation",IF(OR(C54&lt;SUM(O54,AA54,AM54,AY54),D54&lt;SUM(P54,AB54,AN54,AZ54),E54&lt;SUM(Q54,AC54,AO54,BA54),F54&lt;SUM(R54,AD54,AP54,BB54),G54&lt;SUM(S54,AE54,AQ54,BC54),H54&lt;SUM(T54,AF54,AR54,BD54),I54&lt;SUM(U54,AG54,AS54,BE54),J54&lt;SUM(V54,AH54,AT54,BF54)),"!! Values in FU1 must be &gt;= sum of values in FU2 - FU5",""))</f>
        <v/>
      </c>
      <c r="BK54" s="246"/>
    </row>
    <row r="55" spans="1:63" x14ac:dyDescent="0.35">
      <c r="A55" s="2"/>
      <c r="B55" s="6" t="s">
        <v>7</v>
      </c>
      <c r="C55" s="129"/>
      <c r="D55" s="130"/>
      <c r="E55" s="130"/>
      <c r="F55" s="130"/>
      <c r="G55" s="130"/>
      <c r="H55" s="130"/>
      <c r="I55" s="130"/>
      <c r="J55" s="130"/>
      <c r="K55" s="127">
        <f t="shared" si="65"/>
        <v>0</v>
      </c>
      <c r="M55" s="2"/>
      <c r="N55" s="6" t="s">
        <v>7</v>
      </c>
      <c r="O55" s="129"/>
      <c r="P55" s="130"/>
      <c r="Q55" s="130"/>
      <c r="R55" s="130"/>
      <c r="S55" s="130"/>
      <c r="T55" s="130"/>
      <c r="U55" s="130"/>
      <c r="V55" s="130"/>
      <c r="W55" s="127">
        <f t="shared" si="66"/>
        <v>0</v>
      </c>
      <c r="Y55" s="2"/>
      <c r="Z55" s="6" t="s">
        <v>7</v>
      </c>
      <c r="AA55" s="129"/>
      <c r="AB55" s="130"/>
      <c r="AC55" s="130"/>
      <c r="AD55" s="130"/>
      <c r="AE55" s="130"/>
      <c r="AF55" s="130"/>
      <c r="AG55" s="130"/>
      <c r="AH55" s="130"/>
      <c r="AI55" s="127">
        <f t="shared" si="67"/>
        <v>0</v>
      </c>
      <c r="AK55" s="2"/>
      <c r="AL55" s="6" t="s">
        <v>7</v>
      </c>
      <c r="AM55" s="129"/>
      <c r="AN55" s="130"/>
      <c r="AO55" s="130"/>
      <c r="AP55" s="130"/>
      <c r="AQ55" s="130"/>
      <c r="AR55" s="130"/>
      <c r="AS55" s="130"/>
      <c r="AT55" s="130"/>
      <c r="AU55" s="127">
        <f t="shared" si="68"/>
        <v>0</v>
      </c>
      <c r="AW55" s="2"/>
      <c r="AX55" s="6" t="s">
        <v>7</v>
      </c>
      <c r="AY55" s="129"/>
      <c r="AZ55" s="130"/>
      <c r="BA55" s="130"/>
      <c r="BB55" s="130"/>
      <c r="BC55" s="130"/>
      <c r="BD55" s="130"/>
      <c r="BE55" s="130"/>
      <c r="BF55" s="130"/>
      <c r="BG55" s="127">
        <f t="shared" si="69"/>
        <v>0</v>
      </c>
      <c r="BI55" s="69" t="str">
        <f t="shared" ref="BI55:BI56" si="70">IF(OR(K55&lt;0,W55&lt;0,AI55&lt;0,AU55&lt;0,BG55&lt;0),"!! Total must be &gt;= sum by situation",IF(OR(C55&lt;SUM(O55,AA55,AM55,AY55),D55&lt;SUM(P55,AB55,AN55,AZ55),E55&lt;SUM(Q55,AC55,AO55,BA55),F55&lt;SUM(R55,AD55,AP55,BB55),G55&lt;SUM(S55,AE55,AQ55,BC55),H55&lt;SUM(T55,AF55,AR55,BD55),I55&lt;SUM(U55,AG55,AS55,BE55),J55&lt;SUM(V55,AH55,AT55,BF55)),"!! Values in FU1 must be &gt;= sum of values in FU2 - FU5",""))</f>
        <v/>
      </c>
      <c r="BK55" s="246"/>
    </row>
    <row r="56" spans="1:63" x14ac:dyDescent="0.35">
      <c r="A56" s="2"/>
      <c r="B56" s="6" t="s">
        <v>440</v>
      </c>
      <c r="C56" s="129"/>
      <c r="D56" s="130"/>
      <c r="E56" s="130"/>
      <c r="F56" s="130"/>
      <c r="G56" s="130"/>
      <c r="H56" s="130"/>
      <c r="I56" s="130"/>
      <c r="J56" s="130"/>
      <c r="K56" s="127">
        <f t="shared" si="65"/>
        <v>0</v>
      </c>
      <c r="M56" s="2"/>
      <c r="N56" s="6" t="s">
        <v>440</v>
      </c>
      <c r="O56" s="129"/>
      <c r="P56" s="130"/>
      <c r="Q56" s="130"/>
      <c r="R56" s="130"/>
      <c r="S56" s="130"/>
      <c r="T56" s="130"/>
      <c r="U56" s="130"/>
      <c r="V56" s="130"/>
      <c r="W56" s="127">
        <f t="shared" si="66"/>
        <v>0</v>
      </c>
      <c r="Y56" s="2"/>
      <c r="Z56" s="6" t="s">
        <v>440</v>
      </c>
      <c r="AA56" s="129"/>
      <c r="AB56" s="130"/>
      <c r="AC56" s="130"/>
      <c r="AD56" s="130"/>
      <c r="AE56" s="130"/>
      <c r="AF56" s="130"/>
      <c r="AG56" s="130"/>
      <c r="AH56" s="130"/>
      <c r="AI56" s="127">
        <f t="shared" si="67"/>
        <v>0</v>
      </c>
      <c r="AK56" s="2"/>
      <c r="AL56" s="6" t="s">
        <v>440</v>
      </c>
      <c r="AM56" s="129"/>
      <c r="AN56" s="130"/>
      <c r="AO56" s="130"/>
      <c r="AP56" s="130"/>
      <c r="AQ56" s="130"/>
      <c r="AR56" s="130"/>
      <c r="AS56" s="130"/>
      <c r="AT56" s="130"/>
      <c r="AU56" s="127">
        <f t="shared" si="68"/>
        <v>0</v>
      </c>
      <c r="AW56" s="2"/>
      <c r="AX56" s="6" t="s">
        <v>440</v>
      </c>
      <c r="AY56" s="129"/>
      <c r="AZ56" s="130"/>
      <c r="BA56" s="130"/>
      <c r="BB56" s="130"/>
      <c r="BC56" s="130"/>
      <c r="BD56" s="130"/>
      <c r="BE56" s="130"/>
      <c r="BF56" s="130"/>
      <c r="BG56" s="127">
        <f t="shared" si="69"/>
        <v>0</v>
      </c>
      <c r="BI56" s="69" t="str">
        <f t="shared" si="70"/>
        <v/>
      </c>
      <c r="BK56" s="246"/>
    </row>
    <row r="57" spans="1:63" x14ac:dyDescent="0.35">
      <c r="A57" s="224" t="s">
        <v>4</v>
      </c>
      <c r="B57" s="220"/>
      <c r="C57" s="212" t="str">
        <f>C$18</f>
        <v>Total</v>
      </c>
      <c r="D57" s="221" t="str">
        <f t="shared" ref="D57:K57" si="71">D$18</f>
        <v>Employment</v>
      </c>
      <c r="E57" s="221" t="str">
        <f t="shared" si="71"/>
        <v>Education</v>
      </c>
      <c r="F57" s="221" t="str">
        <f t="shared" si="71"/>
        <v>Apprenticeship</v>
      </c>
      <c r="G57" s="221" t="str">
        <f t="shared" si="71"/>
        <v>Traineeship</v>
      </c>
      <c r="H57" s="221" t="str">
        <f t="shared" si="71"/>
        <v>Unemployment</v>
      </c>
      <c r="I57" s="221" t="str">
        <f t="shared" si="71"/>
        <v>Inactivity</v>
      </c>
      <c r="J57" s="221" t="str">
        <f t="shared" si="71"/>
        <v>Not applicable</v>
      </c>
      <c r="K57" s="223" t="str">
        <f t="shared" si="71"/>
        <v>Unknown</v>
      </c>
      <c r="M57" s="224" t="s">
        <v>4</v>
      </c>
      <c r="N57" s="220"/>
      <c r="O57" s="212" t="str">
        <f>O$18</f>
        <v>Total</v>
      </c>
      <c r="P57" s="221" t="str">
        <f t="shared" ref="P57:W57" si="72">P$18</f>
        <v>Employment</v>
      </c>
      <c r="Q57" s="221" t="str">
        <f t="shared" si="72"/>
        <v>Education</v>
      </c>
      <c r="R57" s="221" t="str">
        <f t="shared" si="72"/>
        <v>Apprenticeship</v>
      </c>
      <c r="S57" s="221" t="str">
        <f t="shared" si="72"/>
        <v>Traineeship</v>
      </c>
      <c r="T57" s="221" t="str">
        <f t="shared" si="72"/>
        <v>Unemployment</v>
      </c>
      <c r="U57" s="221" t="str">
        <f t="shared" si="72"/>
        <v>Inactivity</v>
      </c>
      <c r="V57" s="221" t="str">
        <f t="shared" si="72"/>
        <v>Not applicable</v>
      </c>
      <c r="W57" s="223" t="str">
        <f t="shared" si="72"/>
        <v>Unknown</v>
      </c>
      <c r="Y57" s="224" t="s">
        <v>4</v>
      </c>
      <c r="Z57" s="220"/>
      <c r="AA57" s="212" t="str">
        <f>AA$18</f>
        <v>Total</v>
      </c>
      <c r="AB57" s="221" t="str">
        <f t="shared" ref="AB57:AI57" si="73">AB$18</f>
        <v>Employment</v>
      </c>
      <c r="AC57" s="221" t="str">
        <f t="shared" si="73"/>
        <v>Education</v>
      </c>
      <c r="AD57" s="221" t="str">
        <f t="shared" si="73"/>
        <v>Apprenticeship</v>
      </c>
      <c r="AE57" s="221" t="str">
        <f t="shared" si="73"/>
        <v>Traineeship</v>
      </c>
      <c r="AF57" s="221" t="str">
        <f t="shared" si="73"/>
        <v>Unemployment</v>
      </c>
      <c r="AG57" s="221" t="str">
        <f t="shared" si="73"/>
        <v>Inactivity</v>
      </c>
      <c r="AH57" s="221" t="str">
        <f t="shared" si="73"/>
        <v>Not applicable</v>
      </c>
      <c r="AI57" s="223" t="str">
        <f t="shared" si="73"/>
        <v>Unknown</v>
      </c>
      <c r="AK57" s="224" t="s">
        <v>4</v>
      </c>
      <c r="AL57" s="220"/>
      <c r="AM57" s="212" t="str">
        <f>AM$18</f>
        <v>Total</v>
      </c>
      <c r="AN57" s="221" t="str">
        <f t="shared" ref="AN57:AU57" si="74">AN$18</f>
        <v>Employment</v>
      </c>
      <c r="AO57" s="221" t="str">
        <f t="shared" si="74"/>
        <v>Education</v>
      </c>
      <c r="AP57" s="221" t="str">
        <f t="shared" si="74"/>
        <v>Apprenticeship</v>
      </c>
      <c r="AQ57" s="221" t="str">
        <f t="shared" si="74"/>
        <v>Traineeship</v>
      </c>
      <c r="AR57" s="221" t="str">
        <f t="shared" si="74"/>
        <v>Unemployment</v>
      </c>
      <c r="AS57" s="221" t="str">
        <f t="shared" si="74"/>
        <v>Inactivity</v>
      </c>
      <c r="AT57" s="221" t="str">
        <f t="shared" si="74"/>
        <v>Not applicable</v>
      </c>
      <c r="AU57" s="223" t="str">
        <f t="shared" si="74"/>
        <v>Unknown</v>
      </c>
      <c r="AW57" s="224" t="s">
        <v>4</v>
      </c>
      <c r="AX57" s="220"/>
      <c r="AY57" s="212" t="str">
        <f>AY$18</f>
        <v>Total</v>
      </c>
      <c r="AZ57" s="221" t="str">
        <f t="shared" ref="AZ57:BG57" si="75">AZ$18</f>
        <v>Employment</v>
      </c>
      <c r="BA57" s="221" t="str">
        <f t="shared" si="75"/>
        <v>Education</v>
      </c>
      <c r="BB57" s="221" t="str">
        <f t="shared" si="75"/>
        <v>Apprenticeship</v>
      </c>
      <c r="BC57" s="221" t="str">
        <f t="shared" si="75"/>
        <v>Traineeship</v>
      </c>
      <c r="BD57" s="221" t="str">
        <f t="shared" si="75"/>
        <v>Unemployment</v>
      </c>
      <c r="BE57" s="221" t="str">
        <f t="shared" si="75"/>
        <v>Inactivity</v>
      </c>
      <c r="BF57" s="221" t="str">
        <f t="shared" si="75"/>
        <v>Not applicable</v>
      </c>
      <c r="BG57" s="223" t="str">
        <f t="shared" si="75"/>
        <v>Unknown</v>
      </c>
      <c r="BI57" s="69"/>
      <c r="BK57" s="246"/>
    </row>
    <row r="58" spans="1:63" x14ac:dyDescent="0.35">
      <c r="A58" s="2"/>
      <c r="B58" s="6" t="s">
        <v>441</v>
      </c>
      <c r="C58" s="129"/>
      <c r="D58" s="130"/>
      <c r="E58" s="130"/>
      <c r="F58" s="130"/>
      <c r="G58" s="130"/>
      <c r="H58" s="130"/>
      <c r="I58" s="130"/>
      <c r="J58" s="130"/>
      <c r="K58" s="127">
        <f t="shared" ref="K58:K61" si="76">C58-SUM(D58:G58,H58:I58,J58)</f>
        <v>0</v>
      </c>
      <c r="M58" s="2"/>
      <c r="N58" s="6" t="s">
        <v>441</v>
      </c>
      <c r="O58" s="129"/>
      <c r="P58" s="130"/>
      <c r="Q58" s="130"/>
      <c r="R58" s="130"/>
      <c r="S58" s="130"/>
      <c r="T58" s="130"/>
      <c r="U58" s="130"/>
      <c r="V58" s="130"/>
      <c r="W58" s="127">
        <f t="shared" ref="W58:W61" si="77">O58-SUM(P58:S58,T58:U58,V58)</f>
        <v>0</v>
      </c>
      <c r="Y58" s="2"/>
      <c r="Z58" s="6" t="s">
        <v>441</v>
      </c>
      <c r="AA58" s="129"/>
      <c r="AB58" s="130"/>
      <c r="AC58" s="130"/>
      <c r="AD58" s="130"/>
      <c r="AE58" s="130"/>
      <c r="AF58" s="130"/>
      <c r="AG58" s="130"/>
      <c r="AH58" s="130"/>
      <c r="AI58" s="127">
        <f t="shared" ref="AI58:AI61" si="78">AA58-SUM(AB58:AE58,AF58:AG58,AH58)</f>
        <v>0</v>
      </c>
      <c r="AK58" s="2"/>
      <c r="AL58" s="6" t="s">
        <v>441</v>
      </c>
      <c r="AM58" s="129"/>
      <c r="AN58" s="130"/>
      <c r="AO58" s="130"/>
      <c r="AP58" s="130"/>
      <c r="AQ58" s="130"/>
      <c r="AR58" s="130"/>
      <c r="AS58" s="130"/>
      <c r="AT58" s="130"/>
      <c r="AU58" s="127">
        <f t="shared" ref="AU58:AU61" si="79">AM58-SUM(AN58:AQ58,AR58:AS58,AT58)</f>
        <v>0</v>
      </c>
      <c r="AW58" s="2"/>
      <c r="AX58" s="6" t="s">
        <v>441</v>
      </c>
      <c r="AY58" s="129"/>
      <c r="AZ58" s="130"/>
      <c r="BA58" s="130"/>
      <c r="BB58" s="130"/>
      <c r="BC58" s="130"/>
      <c r="BD58" s="130"/>
      <c r="BE58" s="130"/>
      <c r="BF58" s="130"/>
      <c r="BG58" s="127">
        <f t="shared" ref="BG58:BG61" si="80">AY58-SUM(AZ58:BC58,BD58:BE58,BF58)</f>
        <v>0</v>
      </c>
      <c r="BI58" s="69" t="str">
        <f>IF(OR(K58&lt;0,W58&lt;0,AI58&lt;0,AU58&lt;0,BG58&lt;0),"!! Total must be &gt;= sum by situation",IF(OR(C58&lt;SUM(O58,AA58,AM58,AY58),D58&lt;SUM(P58,AB58,AN58,AZ58),E58&lt;SUM(Q58,AC58,AO58,BA58),F58&lt;SUM(R58,AD58,AP58,BB58),G58&lt;SUM(S58,AE58,AQ58,BC58),H58&lt;SUM(T58,AF58,AR58,BD58),I58&lt;SUM(U58,AG58,AS58,BE58),J58&lt;SUM(V58,AH58,AT58,BF58)),"!! Values in FU1 must be &gt;= sum of values in FU2 - FU5",""))</f>
        <v/>
      </c>
      <c r="BK58" s="246"/>
    </row>
    <row r="59" spans="1:63" x14ac:dyDescent="0.35">
      <c r="A59" s="2"/>
      <c r="B59" s="6" t="s">
        <v>6</v>
      </c>
      <c r="C59" s="129"/>
      <c r="D59" s="130"/>
      <c r="E59" s="130"/>
      <c r="F59" s="130"/>
      <c r="G59" s="130"/>
      <c r="H59" s="130"/>
      <c r="I59" s="130"/>
      <c r="J59" s="130"/>
      <c r="K59" s="127">
        <f t="shared" si="76"/>
        <v>0</v>
      </c>
      <c r="M59" s="2"/>
      <c r="N59" s="6" t="s">
        <v>6</v>
      </c>
      <c r="O59" s="129"/>
      <c r="P59" s="130"/>
      <c r="Q59" s="130"/>
      <c r="R59" s="130"/>
      <c r="S59" s="130"/>
      <c r="T59" s="130"/>
      <c r="U59" s="130"/>
      <c r="V59" s="130"/>
      <c r="W59" s="127">
        <f t="shared" si="77"/>
        <v>0</v>
      </c>
      <c r="Y59" s="2"/>
      <c r="Z59" s="6" t="s">
        <v>6</v>
      </c>
      <c r="AA59" s="129"/>
      <c r="AB59" s="130"/>
      <c r="AC59" s="130"/>
      <c r="AD59" s="130"/>
      <c r="AE59" s="130"/>
      <c r="AF59" s="130"/>
      <c r="AG59" s="130"/>
      <c r="AH59" s="130"/>
      <c r="AI59" s="127">
        <f t="shared" si="78"/>
        <v>0</v>
      </c>
      <c r="AK59" s="2"/>
      <c r="AL59" s="6" t="s">
        <v>6</v>
      </c>
      <c r="AM59" s="129"/>
      <c r="AN59" s="130"/>
      <c r="AO59" s="130"/>
      <c r="AP59" s="130"/>
      <c r="AQ59" s="130"/>
      <c r="AR59" s="130"/>
      <c r="AS59" s="130"/>
      <c r="AT59" s="130"/>
      <c r="AU59" s="127">
        <f t="shared" si="79"/>
        <v>0</v>
      </c>
      <c r="AW59" s="2"/>
      <c r="AX59" s="6" t="s">
        <v>6</v>
      </c>
      <c r="AY59" s="129"/>
      <c r="AZ59" s="130"/>
      <c r="BA59" s="130"/>
      <c r="BB59" s="130"/>
      <c r="BC59" s="130"/>
      <c r="BD59" s="130"/>
      <c r="BE59" s="130"/>
      <c r="BF59" s="130"/>
      <c r="BG59" s="127">
        <f t="shared" si="80"/>
        <v>0</v>
      </c>
      <c r="BI59" s="69" t="str">
        <f>IF(OR(K59&lt;0,W59&lt;0,AI59&lt;0,AU59&lt;0,BG59&lt;0),"!! Total must be &gt;= sum by situation",IF(OR(C59&lt;SUM(O59,AA59,AM59,AY59),D59&lt;SUM(P59,AB59,AN59,AZ59),E59&lt;SUM(Q59,AC59,AO59,BA59),F59&lt;SUM(R59,AD59,AP59,BB59),G59&lt;SUM(S59,AE59,AQ59,BC59),H59&lt;SUM(T59,AF59,AR59,BD59),I59&lt;SUM(U59,AG59,AS59,BE59),J59&lt;SUM(V59,AH59,AT59,BF59)),"!! Values in FU1 must be &gt;= sum of values in FU2 - FU5",""))</f>
        <v/>
      </c>
      <c r="BK59" s="246"/>
    </row>
    <row r="60" spans="1:63" x14ac:dyDescent="0.35">
      <c r="A60" s="2"/>
      <c r="B60" s="6" t="s">
        <v>7</v>
      </c>
      <c r="C60" s="129"/>
      <c r="D60" s="130"/>
      <c r="E60" s="130"/>
      <c r="F60" s="130"/>
      <c r="G60" s="130"/>
      <c r="H60" s="130"/>
      <c r="I60" s="130"/>
      <c r="J60" s="130"/>
      <c r="K60" s="127">
        <f t="shared" si="76"/>
        <v>0</v>
      </c>
      <c r="M60" s="2"/>
      <c r="N60" s="6" t="s">
        <v>7</v>
      </c>
      <c r="O60" s="129"/>
      <c r="P60" s="130"/>
      <c r="Q60" s="130"/>
      <c r="R60" s="130"/>
      <c r="S60" s="130"/>
      <c r="T60" s="130"/>
      <c r="U60" s="130"/>
      <c r="V60" s="130"/>
      <c r="W60" s="127">
        <f t="shared" si="77"/>
        <v>0</v>
      </c>
      <c r="Y60" s="2"/>
      <c r="Z60" s="6" t="s">
        <v>7</v>
      </c>
      <c r="AA60" s="129"/>
      <c r="AB60" s="130"/>
      <c r="AC60" s="130"/>
      <c r="AD60" s="130"/>
      <c r="AE60" s="130"/>
      <c r="AF60" s="130"/>
      <c r="AG60" s="130"/>
      <c r="AH60" s="130"/>
      <c r="AI60" s="127">
        <f t="shared" si="78"/>
        <v>0</v>
      </c>
      <c r="AK60" s="2"/>
      <c r="AL60" s="6" t="s">
        <v>7</v>
      </c>
      <c r="AM60" s="129"/>
      <c r="AN60" s="130"/>
      <c r="AO60" s="130"/>
      <c r="AP60" s="130"/>
      <c r="AQ60" s="130"/>
      <c r="AR60" s="130"/>
      <c r="AS60" s="130"/>
      <c r="AT60" s="130"/>
      <c r="AU60" s="127">
        <f t="shared" si="79"/>
        <v>0</v>
      </c>
      <c r="AW60" s="2"/>
      <c r="AX60" s="6" t="s">
        <v>7</v>
      </c>
      <c r="AY60" s="129"/>
      <c r="AZ60" s="130"/>
      <c r="BA60" s="130"/>
      <c r="BB60" s="130"/>
      <c r="BC60" s="130"/>
      <c r="BD60" s="130"/>
      <c r="BE60" s="130"/>
      <c r="BF60" s="130"/>
      <c r="BG60" s="127">
        <f t="shared" si="80"/>
        <v>0</v>
      </c>
      <c r="BI60" s="69" t="str">
        <f t="shared" ref="BI60:BI61" si="81">IF(OR(K60&lt;0,W60&lt;0,AI60&lt;0,AU60&lt;0,BG60&lt;0),"!! Total must be &gt;= sum by situation",IF(OR(C60&lt;SUM(O60,AA60,AM60,AY60),D60&lt;SUM(P60,AB60,AN60,AZ60),E60&lt;SUM(Q60,AC60,AO60,BA60),F60&lt;SUM(R60,AD60,AP60,BB60),G60&lt;SUM(S60,AE60,AQ60,BC60),H60&lt;SUM(T60,AF60,AR60,BD60),I60&lt;SUM(U60,AG60,AS60,BE60),J60&lt;SUM(V60,AH60,AT60,BF60)),"!! Values in FU1 must be &gt;= sum of values in FU2 - FU5",""))</f>
        <v/>
      </c>
      <c r="BK60" s="246"/>
    </row>
    <row r="61" spans="1:63" x14ac:dyDescent="0.35">
      <c r="A61" s="2"/>
      <c r="B61" s="6" t="s">
        <v>440</v>
      </c>
      <c r="C61" s="129"/>
      <c r="D61" s="130"/>
      <c r="E61" s="130"/>
      <c r="F61" s="130"/>
      <c r="G61" s="130"/>
      <c r="H61" s="130"/>
      <c r="I61" s="130"/>
      <c r="J61" s="130"/>
      <c r="K61" s="127">
        <f t="shared" si="76"/>
        <v>0</v>
      </c>
      <c r="M61" s="2"/>
      <c r="N61" s="6" t="s">
        <v>440</v>
      </c>
      <c r="O61" s="129"/>
      <c r="P61" s="130"/>
      <c r="Q61" s="130"/>
      <c r="R61" s="130"/>
      <c r="S61" s="130"/>
      <c r="T61" s="130"/>
      <c r="U61" s="130"/>
      <c r="V61" s="130"/>
      <c r="W61" s="127">
        <f t="shared" si="77"/>
        <v>0</v>
      </c>
      <c r="Y61" s="2"/>
      <c r="Z61" s="6" t="s">
        <v>440</v>
      </c>
      <c r="AA61" s="129"/>
      <c r="AB61" s="130"/>
      <c r="AC61" s="130"/>
      <c r="AD61" s="130"/>
      <c r="AE61" s="130"/>
      <c r="AF61" s="130"/>
      <c r="AG61" s="130"/>
      <c r="AH61" s="130"/>
      <c r="AI61" s="127">
        <f t="shared" si="78"/>
        <v>0</v>
      </c>
      <c r="AK61" s="2"/>
      <c r="AL61" s="6" t="s">
        <v>440</v>
      </c>
      <c r="AM61" s="129"/>
      <c r="AN61" s="130"/>
      <c r="AO61" s="130"/>
      <c r="AP61" s="130"/>
      <c r="AQ61" s="130"/>
      <c r="AR61" s="130"/>
      <c r="AS61" s="130"/>
      <c r="AT61" s="130"/>
      <c r="AU61" s="127">
        <f t="shared" si="79"/>
        <v>0</v>
      </c>
      <c r="AW61" s="2"/>
      <c r="AX61" s="6" t="s">
        <v>440</v>
      </c>
      <c r="AY61" s="129"/>
      <c r="AZ61" s="130"/>
      <c r="BA61" s="130"/>
      <c r="BB61" s="130"/>
      <c r="BC61" s="130"/>
      <c r="BD61" s="130"/>
      <c r="BE61" s="130"/>
      <c r="BF61" s="130"/>
      <c r="BG61" s="127">
        <f t="shared" si="80"/>
        <v>0</v>
      </c>
      <c r="BI61" s="69" t="str">
        <f t="shared" si="81"/>
        <v/>
      </c>
      <c r="BK61" s="246"/>
    </row>
    <row r="62" spans="1:63" x14ac:dyDescent="0.35">
      <c r="A62" s="4" t="s">
        <v>5</v>
      </c>
      <c r="B62" s="220"/>
      <c r="C62" s="212" t="str">
        <f>C$18</f>
        <v>Total</v>
      </c>
      <c r="D62" s="221" t="str">
        <f t="shared" ref="D62:K62" si="82">D$18</f>
        <v>Employment</v>
      </c>
      <c r="E62" s="221" t="str">
        <f t="shared" si="82"/>
        <v>Education</v>
      </c>
      <c r="F62" s="221" t="str">
        <f t="shared" si="82"/>
        <v>Apprenticeship</v>
      </c>
      <c r="G62" s="221" t="str">
        <f t="shared" si="82"/>
        <v>Traineeship</v>
      </c>
      <c r="H62" s="221" t="str">
        <f t="shared" si="82"/>
        <v>Unemployment</v>
      </c>
      <c r="I62" s="221" t="str">
        <f t="shared" si="82"/>
        <v>Inactivity</v>
      </c>
      <c r="J62" s="221" t="str">
        <f t="shared" si="82"/>
        <v>Not applicable</v>
      </c>
      <c r="K62" s="223" t="str">
        <f t="shared" si="82"/>
        <v>Unknown</v>
      </c>
      <c r="M62" s="224" t="s">
        <v>5</v>
      </c>
      <c r="N62" s="220"/>
      <c r="O62" s="212" t="str">
        <f>O$18</f>
        <v>Total</v>
      </c>
      <c r="P62" s="221" t="str">
        <f t="shared" ref="P62:W62" si="83">P$18</f>
        <v>Employment</v>
      </c>
      <c r="Q62" s="221" t="str">
        <f t="shared" si="83"/>
        <v>Education</v>
      </c>
      <c r="R62" s="221" t="str">
        <f t="shared" si="83"/>
        <v>Apprenticeship</v>
      </c>
      <c r="S62" s="221" t="str">
        <f t="shared" si="83"/>
        <v>Traineeship</v>
      </c>
      <c r="T62" s="221" t="str">
        <f t="shared" si="83"/>
        <v>Unemployment</v>
      </c>
      <c r="U62" s="221" t="str">
        <f t="shared" si="83"/>
        <v>Inactivity</v>
      </c>
      <c r="V62" s="221" t="str">
        <f t="shared" si="83"/>
        <v>Not applicable</v>
      </c>
      <c r="W62" s="223" t="str">
        <f t="shared" si="83"/>
        <v>Unknown</v>
      </c>
      <c r="Y62" s="224" t="s">
        <v>5</v>
      </c>
      <c r="Z62" s="220"/>
      <c r="AA62" s="212" t="str">
        <f>AA$18</f>
        <v>Total</v>
      </c>
      <c r="AB62" s="221" t="str">
        <f t="shared" ref="AB62:AI62" si="84">AB$18</f>
        <v>Employment</v>
      </c>
      <c r="AC62" s="221" t="str">
        <f t="shared" si="84"/>
        <v>Education</v>
      </c>
      <c r="AD62" s="221" t="str">
        <f t="shared" si="84"/>
        <v>Apprenticeship</v>
      </c>
      <c r="AE62" s="221" t="str">
        <f t="shared" si="84"/>
        <v>Traineeship</v>
      </c>
      <c r="AF62" s="221" t="str">
        <f t="shared" si="84"/>
        <v>Unemployment</v>
      </c>
      <c r="AG62" s="221" t="str">
        <f t="shared" si="84"/>
        <v>Inactivity</v>
      </c>
      <c r="AH62" s="221" t="str">
        <f t="shared" si="84"/>
        <v>Not applicable</v>
      </c>
      <c r="AI62" s="223" t="str">
        <f t="shared" si="84"/>
        <v>Unknown</v>
      </c>
      <c r="AK62" s="224" t="s">
        <v>5</v>
      </c>
      <c r="AL62" s="220"/>
      <c r="AM62" s="212" t="str">
        <f>AM$18</f>
        <v>Total</v>
      </c>
      <c r="AN62" s="221" t="str">
        <f t="shared" ref="AN62:AU62" si="85">AN$18</f>
        <v>Employment</v>
      </c>
      <c r="AO62" s="221" t="str">
        <f t="shared" si="85"/>
        <v>Education</v>
      </c>
      <c r="AP62" s="221" t="str">
        <f t="shared" si="85"/>
        <v>Apprenticeship</v>
      </c>
      <c r="AQ62" s="221" t="str">
        <f t="shared" si="85"/>
        <v>Traineeship</v>
      </c>
      <c r="AR62" s="221" t="str">
        <f t="shared" si="85"/>
        <v>Unemployment</v>
      </c>
      <c r="AS62" s="221" t="str">
        <f t="shared" si="85"/>
        <v>Inactivity</v>
      </c>
      <c r="AT62" s="221" t="str">
        <f t="shared" si="85"/>
        <v>Not applicable</v>
      </c>
      <c r="AU62" s="223" t="str">
        <f t="shared" si="85"/>
        <v>Unknown</v>
      </c>
      <c r="AW62" s="224" t="s">
        <v>5</v>
      </c>
      <c r="AX62" s="220"/>
      <c r="AY62" s="212" t="str">
        <f>AY$18</f>
        <v>Total</v>
      </c>
      <c r="AZ62" s="221" t="str">
        <f t="shared" ref="AZ62:BG62" si="86">AZ$18</f>
        <v>Employment</v>
      </c>
      <c r="BA62" s="221" t="str">
        <f t="shared" si="86"/>
        <v>Education</v>
      </c>
      <c r="BB62" s="221" t="str">
        <f t="shared" si="86"/>
        <v>Apprenticeship</v>
      </c>
      <c r="BC62" s="221" t="str">
        <f t="shared" si="86"/>
        <v>Traineeship</v>
      </c>
      <c r="BD62" s="221" t="str">
        <f t="shared" si="86"/>
        <v>Unemployment</v>
      </c>
      <c r="BE62" s="221" t="str">
        <f t="shared" si="86"/>
        <v>Inactivity</v>
      </c>
      <c r="BF62" s="221" t="str">
        <f t="shared" si="86"/>
        <v>Not applicable</v>
      </c>
      <c r="BG62" s="223" t="str">
        <f t="shared" si="86"/>
        <v>Unknown</v>
      </c>
      <c r="BI62" s="69"/>
      <c r="BK62" s="246"/>
    </row>
    <row r="63" spans="1:63" x14ac:dyDescent="0.35">
      <c r="A63" s="2"/>
      <c r="B63" s="6" t="s">
        <v>441</v>
      </c>
      <c r="C63" s="129"/>
      <c r="D63" s="130"/>
      <c r="E63" s="130"/>
      <c r="F63" s="130"/>
      <c r="G63" s="130"/>
      <c r="H63" s="130"/>
      <c r="I63" s="130"/>
      <c r="J63" s="130"/>
      <c r="K63" s="127">
        <f t="shared" ref="K63:K65" si="87">C63-SUM(D63:G63,H63:I63,J63)</f>
        <v>0</v>
      </c>
      <c r="M63" s="2"/>
      <c r="N63" s="6" t="s">
        <v>441</v>
      </c>
      <c r="O63" s="129"/>
      <c r="P63" s="130"/>
      <c r="Q63" s="130"/>
      <c r="R63" s="130"/>
      <c r="S63" s="130"/>
      <c r="T63" s="130"/>
      <c r="U63" s="130"/>
      <c r="V63" s="130"/>
      <c r="W63" s="127">
        <f t="shared" ref="W63:W65" si="88">O63-SUM(P63:S63,T63:U63,V63)</f>
        <v>0</v>
      </c>
      <c r="Y63" s="2"/>
      <c r="Z63" s="6" t="s">
        <v>441</v>
      </c>
      <c r="AA63" s="129"/>
      <c r="AB63" s="130"/>
      <c r="AC63" s="130"/>
      <c r="AD63" s="130"/>
      <c r="AE63" s="130"/>
      <c r="AF63" s="130"/>
      <c r="AG63" s="130"/>
      <c r="AH63" s="130"/>
      <c r="AI63" s="127">
        <f t="shared" ref="AI63:AI65" si="89">AA63-SUM(AB63:AE63,AF63:AG63,AH63)</f>
        <v>0</v>
      </c>
      <c r="AK63" s="2"/>
      <c r="AL63" s="6" t="s">
        <v>441</v>
      </c>
      <c r="AM63" s="129"/>
      <c r="AN63" s="130"/>
      <c r="AO63" s="130"/>
      <c r="AP63" s="130"/>
      <c r="AQ63" s="130"/>
      <c r="AR63" s="130"/>
      <c r="AS63" s="130"/>
      <c r="AT63" s="130"/>
      <c r="AU63" s="127">
        <f t="shared" ref="AU63:AU65" si="90">AM63-SUM(AN63:AQ63,AR63:AS63,AT63)</f>
        <v>0</v>
      </c>
      <c r="AW63" s="2"/>
      <c r="AX63" s="6" t="s">
        <v>441</v>
      </c>
      <c r="AY63" s="129"/>
      <c r="AZ63" s="130"/>
      <c r="BA63" s="130"/>
      <c r="BB63" s="130"/>
      <c r="BC63" s="130"/>
      <c r="BD63" s="130"/>
      <c r="BE63" s="130"/>
      <c r="BF63" s="130"/>
      <c r="BG63" s="127">
        <f t="shared" ref="BG63:BG65" si="91">AY63-SUM(AZ63:BC63,BD63:BE63,BF63)</f>
        <v>0</v>
      </c>
      <c r="BI63" s="69" t="str">
        <f>IF(OR(K63&lt;0,W63&lt;0,AI63&lt;0,AU63&lt;0,BG63&lt;0),"!! Total must be &gt;= sum by situation",IF(OR(C63&lt;SUM(O63,AA63,AM63,AY63),D63&lt;SUM(P63,AB63,AN63,AZ63),E63&lt;SUM(Q63,AC63,AO63,BA63),F63&lt;SUM(R63,AD63,AP63,BB63),G63&lt;SUM(S63,AE63,AQ63,BC63),H63&lt;SUM(T63,AF63,AR63,BD63),I63&lt;SUM(U63,AG63,AS63,BE63),J63&lt;SUM(V63,AH63,AT63,BF63)),"!! Values in FU1 must be &gt;= sum of values in FU2 - FU5",""))</f>
        <v/>
      </c>
      <c r="BK63" s="246"/>
    </row>
    <row r="64" spans="1:63" x14ac:dyDescent="0.35">
      <c r="A64" s="2"/>
      <c r="B64" s="6" t="s">
        <v>6</v>
      </c>
      <c r="C64" s="129"/>
      <c r="D64" s="130"/>
      <c r="E64" s="130"/>
      <c r="F64" s="130"/>
      <c r="G64" s="130"/>
      <c r="H64" s="130"/>
      <c r="I64" s="130"/>
      <c r="J64" s="130"/>
      <c r="K64" s="127">
        <f t="shared" si="87"/>
        <v>0</v>
      </c>
      <c r="M64" s="2"/>
      <c r="N64" s="6" t="s">
        <v>6</v>
      </c>
      <c r="O64" s="129"/>
      <c r="P64" s="130"/>
      <c r="Q64" s="130"/>
      <c r="R64" s="130"/>
      <c r="S64" s="130"/>
      <c r="T64" s="130"/>
      <c r="U64" s="130"/>
      <c r="V64" s="130"/>
      <c r="W64" s="127">
        <f t="shared" si="88"/>
        <v>0</v>
      </c>
      <c r="Y64" s="2"/>
      <c r="Z64" s="6" t="s">
        <v>6</v>
      </c>
      <c r="AA64" s="129"/>
      <c r="AB64" s="130"/>
      <c r="AC64" s="130"/>
      <c r="AD64" s="130"/>
      <c r="AE64" s="130"/>
      <c r="AF64" s="130"/>
      <c r="AG64" s="130"/>
      <c r="AH64" s="130"/>
      <c r="AI64" s="127">
        <f t="shared" si="89"/>
        <v>0</v>
      </c>
      <c r="AK64" s="2"/>
      <c r="AL64" s="6" t="s">
        <v>6</v>
      </c>
      <c r="AM64" s="129"/>
      <c r="AN64" s="130"/>
      <c r="AO64" s="130"/>
      <c r="AP64" s="130"/>
      <c r="AQ64" s="130"/>
      <c r="AR64" s="130"/>
      <c r="AS64" s="130"/>
      <c r="AT64" s="130"/>
      <c r="AU64" s="127">
        <f t="shared" si="90"/>
        <v>0</v>
      </c>
      <c r="AW64" s="2"/>
      <c r="AX64" s="6" t="s">
        <v>6</v>
      </c>
      <c r="AY64" s="129"/>
      <c r="AZ64" s="130"/>
      <c r="BA64" s="130"/>
      <c r="BB64" s="130"/>
      <c r="BC64" s="130"/>
      <c r="BD64" s="130"/>
      <c r="BE64" s="130"/>
      <c r="BF64" s="130"/>
      <c r="BG64" s="127">
        <f t="shared" si="91"/>
        <v>0</v>
      </c>
      <c r="BI64" s="69" t="str">
        <f>IF(OR(K64&lt;0,W64&lt;0,AI64&lt;0,AU64&lt;0,BG64&lt;0),"!! Total must be &gt;= sum by situation",IF(OR(C64&lt;SUM(O64,AA64,AM64,AY64),D64&lt;SUM(P64,AB64,AN64,AZ64),E64&lt;SUM(Q64,AC64,AO64,BA64),F64&lt;SUM(R64,AD64,AP64,BB64),G64&lt;SUM(S64,AE64,AQ64,BC64),H64&lt;SUM(T64,AF64,AR64,BD64),I64&lt;SUM(U64,AG64,AS64,BE64),J64&lt;SUM(V64,AH64,AT64,BF64)),"!! Values in FU1 must be &gt;= sum of values in FU2 - FU5",""))</f>
        <v/>
      </c>
      <c r="BK64" s="246"/>
    </row>
    <row r="65" spans="1:63" x14ac:dyDescent="0.35">
      <c r="A65" s="2"/>
      <c r="B65" s="6" t="s">
        <v>7</v>
      </c>
      <c r="C65" s="129"/>
      <c r="D65" s="130"/>
      <c r="E65" s="130"/>
      <c r="F65" s="130"/>
      <c r="G65" s="130"/>
      <c r="H65" s="130"/>
      <c r="I65" s="130"/>
      <c r="J65" s="130"/>
      <c r="K65" s="127">
        <f t="shared" si="87"/>
        <v>0</v>
      </c>
      <c r="M65" s="2"/>
      <c r="N65" s="6" t="s">
        <v>7</v>
      </c>
      <c r="O65" s="129"/>
      <c r="P65" s="130"/>
      <c r="Q65" s="130"/>
      <c r="R65" s="130"/>
      <c r="S65" s="130"/>
      <c r="T65" s="130"/>
      <c r="U65" s="130"/>
      <c r="V65" s="130"/>
      <c r="W65" s="127">
        <f t="shared" si="88"/>
        <v>0</v>
      </c>
      <c r="Y65" s="2"/>
      <c r="Z65" s="6" t="s">
        <v>7</v>
      </c>
      <c r="AA65" s="129"/>
      <c r="AB65" s="130"/>
      <c r="AC65" s="130"/>
      <c r="AD65" s="130"/>
      <c r="AE65" s="130"/>
      <c r="AF65" s="130"/>
      <c r="AG65" s="130"/>
      <c r="AH65" s="130"/>
      <c r="AI65" s="127">
        <f t="shared" si="89"/>
        <v>0</v>
      </c>
      <c r="AK65" s="2"/>
      <c r="AL65" s="6" t="s">
        <v>7</v>
      </c>
      <c r="AM65" s="129"/>
      <c r="AN65" s="130"/>
      <c r="AO65" s="130"/>
      <c r="AP65" s="130"/>
      <c r="AQ65" s="130"/>
      <c r="AR65" s="130"/>
      <c r="AS65" s="130"/>
      <c r="AT65" s="130"/>
      <c r="AU65" s="127">
        <f t="shared" si="90"/>
        <v>0</v>
      </c>
      <c r="AW65" s="2"/>
      <c r="AX65" s="6" t="s">
        <v>7</v>
      </c>
      <c r="AY65" s="129"/>
      <c r="AZ65" s="130"/>
      <c r="BA65" s="130"/>
      <c r="BB65" s="130"/>
      <c r="BC65" s="130"/>
      <c r="BD65" s="130"/>
      <c r="BE65" s="130"/>
      <c r="BF65" s="130"/>
      <c r="BG65" s="127">
        <f t="shared" si="91"/>
        <v>0</v>
      </c>
      <c r="BI65" s="69" t="str">
        <f t="shared" ref="BI65:BI66" si="92">IF(OR(K65&lt;0,W65&lt;0,AI65&lt;0,AU65&lt;0,BG65&lt;0),"!! Total must be &gt;= sum by situation",IF(OR(C65&lt;SUM(O65,AA65,AM65,AY65),D65&lt;SUM(P65,AB65,AN65,AZ65),E65&lt;SUM(Q65,AC65,AO65,BA65),F65&lt;SUM(R65,AD65,AP65,BB65),G65&lt;SUM(S65,AE65,AQ65,BC65),H65&lt;SUM(T65,AF65,AR65,BD65),I65&lt;SUM(U65,AG65,AS65,BE65),J65&lt;SUM(V65,AH65,AT65,BF65)),"!! Values in FU1 must be &gt;= sum of values in FU2 - FU5",""))</f>
        <v/>
      </c>
      <c r="BK65" s="246"/>
    </row>
    <row r="66" spans="1:63" ht="15" thickBot="1" x14ac:dyDescent="0.4">
      <c r="A66" s="3"/>
      <c r="B66" s="7" t="s">
        <v>440</v>
      </c>
      <c r="C66" s="132"/>
      <c r="D66" s="133"/>
      <c r="E66" s="133"/>
      <c r="F66" s="133"/>
      <c r="G66" s="133"/>
      <c r="H66" s="133"/>
      <c r="I66" s="133"/>
      <c r="J66" s="133"/>
      <c r="K66" s="128">
        <f>C66-SUM(D66:G66,H66:I66,J66)</f>
        <v>0</v>
      </c>
      <c r="M66" s="3"/>
      <c r="N66" s="7" t="s">
        <v>440</v>
      </c>
      <c r="O66" s="132"/>
      <c r="P66" s="133"/>
      <c r="Q66" s="133"/>
      <c r="R66" s="133"/>
      <c r="S66" s="133"/>
      <c r="T66" s="133"/>
      <c r="U66" s="133"/>
      <c r="V66" s="133"/>
      <c r="W66" s="128">
        <f>O66-SUM(P66:S66,T66:U66,V66)</f>
        <v>0</v>
      </c>
      <c r="Y66" s="3"/>
      <c r="Z66" s="7" t="s">
        <v>440</v>
      </c>
      <c r="AA66" s="132"/>
      <c r="AB66" s="133"/>
      <c r="AC66" s="133"/>
      <c r="AD66" s="133"/>
      <c r="AE66" s="133"/>
      <c r="AF66" s="133"/>
      <c r="AG66" s="133"/>
      <c r="AH66" s="133"/>
      <c r="AI66" s="128">
        <f>AA66-SUM(AB66:AE66,AF66:AG66,AH66)</f>
        <v>0</v>
      </c>
      <c r="AK66" s="3"/>
      <c r="AL66" s="7" t="s">
        <v>440</v>
      </c>
      <c r="AM66" s="132"/>
      <c r="AN66" s="133"/>
      <c r="AO66" s="133"/>
      <c r="AP66" s="133"/>
      <c r="AQ66" s="133"/>
      <c r="AR66" s="133"/>
      <c r="AS66" s="133"/>
      <c r="AT66" s="133"/>
      <c r="AU66" s="128">
        <f>AM66-SUM(AN66:AQ66,AR66:AS66,AT66)</f>
        <v>0</v>
      </c>
      <c r="AW66" s="3"/>
      <c r="AX66" s="7" t="s">
        <v>440</v>
      </c>
      <c r="AY66" s="132"/>
      <c r="AZ66" s="133"/>
      <c r="BA66" s="133"/>
      <c r="BB66" s="133"/>
      <c r="BC66" s="133"/>
      <c r="BD66" s="133"/>
      <c r="BE66" s="133"/>
      <c r="BF66" s="133"/>
      <c r="BG66" s="128">
        <f>AY66-SUM(AZ66:BC66,BD66:BE66,BF66)</f>
        <v>0</v>
      </c>
      <c r="BI66" s="70" t="str">
        <f t="shared" si="92"/>
        <v/>
      </c>
      <c r="BK66" s="247"/>
    </row>
    <row r="67" spans="1:63" ht="15" thickTop="1" x14ac:dyDescent="0.35"/>
  </sheetData>
  <sheetProtection algorithmName="SHA-512" hashValue="fyy6fTqcrgO5xhyedHOWQmCOkgiwCgvCzmF8EZyYjq6dxcCiIv5rwUrgw3nqDNwzvvXnKVNnK2hL2H8a1Sr0pw==" saltValue="od6q8CyhHDaaB4h6TEYgBg==" spinCount="100000" sheet="1" formatCells="0" formatColumns="0" formatRows="0"/>
  <mergeCells count="59">
    <mergeCell ref="AW13:AX16"/>
    <mergeCell ref="AY13:AY15"/>
    <mergeCell ref="BI14:BI16"/>
    <mergeCell ref="BK14:BK17"/>
    <mergeCell ref="BK18:BK66"/>
    <mergeCell ref="AZ15:BC15"/>
    <mergeCell ref="BF14:BF16"/>
    <mergeCell ref="BG14:BG16"/>
    <mergeCell ref="AZ14:BC14"/>
    <mergeCell ref="BD14:BE14"/>
    <mergeCell ref="BD15:BD16"/>
    <mergeCell ref="BE15:BE16"/>
    <mergeCell ref="AZ13:BG13"/>
    <mergeCell ref="M3:W7"/>
    <mergeCell ref="A12:K12"/>
    <mergeCell ref="M12:W12"/>
    <mergeCell ref="D15:G15"/>
    <mergeCell ref="H15:H16"/>
    <mergeCell ref="I15:I16"/>
    <mergeCell ref="P15:S15"/>
    <mergeCell ref="T15:T16"/>
    <mergeCell ref="U15:U16"/>
    <mergeCell ref="D14:G14"/>
    <mergeCell ref="H14:I14"/>
    <mergeCell ref="J14:J16"/>
    <mergeCell ref="K14:K16"/>
    <mergeCell ref="P14:S14"/>
    <mergeCell ref="T14:U14"/>
    <mergeCell ref="V14:V16"/>
    <mergeCell ref="AK13:AL16"/>
    <mergeCell ref="AM13:AM15"/>
    <mergeCell ref="AN13:AU13"/>
    <mergeCell ref="AB14:AE14"/>
    <mergeCell ref="AF14:AG14"/>
    <mergeCell ref="AF15:AF16"/>
    <mergeCell ref="AG15:AG16"/>
    <mergeCell ref="AN15:AQ15"/>
    <mergeCell ref="AR15:AR16"/>
    <mergeCell ref="AS15:AS16"/>
    <mergeCell ref="AH14:AH16"/>
    <mergeCell ref="AI14:AI16"/>
    <mergeCell ref="AT14:AT16"/>
    <mergeCell ref="AU14:AU16"/>
    <mergeCell ref="Y12:AI12"/>
    <mergeCell ref="AK12:AU12"/>
    <mergeCell ref="AW12:BG12"/>
    <mergeCell ref="A13:B16"/>
    <mergeCell ref="C13:C15"/>
    <mergeCell ref="D13:K13"/>
    <mergeCell ref="M13:N16"/>
    <mergeCell ref="O13:O15"/>
    <mergeCell ref="P13:W13"/>
    <mergeCell ref="W14:W16"/>
    <mergeCell ref="AB15:AE15"/>
    <mergeCell ref="AN14:AQ14"/>
    <mergeCell ref="AR14:AS14"/>
    <mergeCell ref="Y13:Z16"/>
    <mergeCell ref="AA13:AA15"/>
    <mergeCell ref="AB13:AI13"/>
  </mergeCells>
  <conditionalFormatting sqref="K19:K66">
    <cfRule type="expression" dxfId="4" priority="5">
      <formula>K19&lt;0</formula>
    </cfRule>
  </conditionalFormatting>
  <conditionalFormatting sqref="W19:W66">
    <cfRule type="expression" dxfId="3" priority="4">
      <formula>W19&lt;0</formula>
    </cfRule>
  </conditionalFormatting>
  <conditionalFormatting sqref="AI19:AI66">
    <cfRule type="expression" dxfId="2" priority="3">
      <formula>AI19&lt;0</formula>
    </cfRule>
  </conditionalFormatting>
  <conditionalFormatting sqref="AU19:AU66">
    <cfRule type="expression" dxfId="1" priority="2">
      <formula>AU19&lt;0</formula>
    </cfRule>
  </conditionalFormatting>
  <conditionalFormatting sqref="BG19:BG66">
    <cfRule type="expression" dxfId="0" priority="1">
      <formula>BG19&lt;0</formula>
    </cfRule>
  </conditionalFormatting>
  <pageMargins left="0.23622047244094491" right="0.23622047244094491" top="0.35433070866141736" bottom="0.55118110236220474" header="0.31496062992125984" footer="0.11811023622047245"/>
  <pageSetup paperSize="9" orientation="landscape" r:id="rId1"/>
  <headerFooter>
    <oddFooter>&amp;LYG monitoring (pilot)&amp;R&amp;A\&amp;P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N232"/>
  <sheetViews>
    <sheetView workbookViewId="0"/>
  </sheetViews>
  <sheetFormatPr defaultColWidth="9.1796875" defaultRowHeight="14.5" outlineLevelRow="1" x14ac:dyDescent="0.35"/>
  <cols>
    <col min="1" max="1" width="4.54296875" style="29" customWidth="1"/>
    <col min="2" max="2" width="26.54296875" style="29" customWidth="1"/>
    <col min="3" max="14" width="11.54296875" style="29" customWidth="1"/>
    <col min="15" max="16384" width="9.1796875" style="29"/>
  </cols>
  <sheetData>
    <row r="1" spans="1:14" s="28" customFormat="1" ht="18.5" x14ac:dyDescent="0.35">
      <c r="A1" s="27" t="s">
        <v>209</v>
      </c>
    </row>
    <row r="2" spans="1:14" x14ac:dyDescent="0.35">
      <c r="A2" s="43" t="s">
        <v>172</v>
      </c>
      <c r="B2" s="43"/>
    </row>
    <row r="3" spans="1:14" ht="15" thickBot="1" x14ac:dyDescent="0.4"/>
    <row r="4" spans="1:14" s="90" customFormat="1" ht="19" thickBot="1" x14ac:dyDescent="0.5">
      <c r="A4" s="110" t="s">
        <v>181</v>
      </c>
      <c r="B4" s="111"/>
      <c r="C4" s="111"/>
      <c r="D4" s="116">
        <f>RefYear_Main</f>
        <v>2025</v>
      </c>
      <c r="E4" s="112"/>
      <c r="F4" s="112"/>
      <c r="G4" s="113"/>
      <c r="H4" s="113"/>
      <c r="I4" s="113"/>
      <c r="J4" s="114"/>
      <c r="K4" s="113"/>
      <c r="L4" s="113"/>
      <c r="M4" s="114"/>
      <c r="N4" s="115"/>
    </row>
    <row r="6" spans="1:14" s="44" customFormat="1" x14ac:dyDescent="0.35">
      <c r="A6" s="44" t="s">
        <v>187</v>
      </c>
    </row>
    <row r="8" spans="1:14" s="45" customFormat="1" x14ac:dyDescent="0.35">
      <c r="A8" s="45" t="s">
        <v>190</v>
      </c>
      <c r="C8" s="45" t="s">
        <v>155</v>
      </c>
    </row>
    <row r="9" spans="1:14" s="45" customFormat="1" ht="30" customHeight="1" x14ac:dyDescent="0.35">
      <c r="C9" s="371" t="s">
        <v>443</v>
      </c>
      <c r="D9" s="371"/>
      <c r="E9" s="371"/>
      <c r="F9" s="371"/>
      <c r="G9" s="371"/>
      <c r="H9" s="371"/>
      <c r="I9" s="371"/>
      <c r="J9" s="203"/>
      <c r="K9" s="203"/>
    </row>
    <row r="10" spans="1:14" ht="15" thickBot="1" x14ac:dyDescent="0.4"/>
    <row r="11" spans="1:14" ht="15.75" customHeight="1" thickTop="1" x14ac:dyDescent="0.35">
      <c r="A11" s="361" t="s">
        <v>108</v>
      </c>
      <c r="B11" s="362"/>
      <c r="C11" s="365" t="s">
        <v>240</v>
      </c>
      <c r="D11" s="366"/>
      <c r="E11" s="367"/>
      <c r="F11" s="365" t="s">
        <v>11</v>
      </c>
      <c r="G11" s="366"/>
      <c r="H11" s="367"/>
      <c r="I11" s="368" t="s">
        <v>13</v>
      </c>
      <c r="J11" s="366"/>
      <c r="K11" s="367"/>
      <c r="L11" s="365" t="s">
        <v>239</v>
      </c>
      <c r="M11" s="366"/>
      <c r="N11" s="373"/>
    </row>
    <row r="12" spans="1:14" x14ac:dyDescent="0.35">
      <c r="A12" s="363"/>
      <c r="B12" s="364"/>
      <c r="C12" s="49" t="s">
        <v>3</v>
      </c>
      <c r="D12" s="47" t="s">
        <v>4</v>
      </c>
      <c r="E12" s="48" t="s">
        <v>5</v>
      </c>
      <c r="F12" s="49" t="s">
        <v>3</v>
      </c>
      <c r="G12" s="47" t="s">
        <v>4</v>
      </c>
      <c r="H12" s="48" t="s">
        <v>5</v>
      </c>
      <c r="I12" s="46" t="s">
        <v>3</v>
      </c>
      <c r="J12" s="47" t="s">
        <v>4</v>
      </c>
      <c r="K12" s="48" t="s">
        <v>5</v>
      </c>
      <c r="L12" s="49" t="s">
        <v>3</v>
      </c>
      <c r="M12" s="47" t="s">
        <v>4</v>
      </c>
      <c r="N12" s="204" t="s">
        <v>5</v>
      </c>
    </row>
    <row r="13" spans="1:14" x14ac:dyDescent="0.35">
      <c r="A13" s="50" t="s">
        <v>8</v>
      </c>
      <c r="B13" s="51"/>
      <c r="C13" s="52">
        <f>IF(AND(ISNUMBER(HLOOKUP("Total",Stock_Total,Age15_29, FALSE)),ISNUMBER(HLOOKUP("&lt;4 months",Stock_Total,Age15_29, FALSE))),IFERROR((HLOOKUP("Total",Stock_Total,Age15_29, FALSE)-HLOOKUP("&lt;4 months",Stock_Total,Age15_29, FALSE))/HLOOKUP("Total",Stock_Total,Age15_29, FALSE),":"),":")</f>
        <v>0.4187733343963575</v>
      </c>
      <c r="D13" s="53">
        <f>IF(AND(ISNUMBER(HLOOKUP("Total",Stock_Men,Age15_29, FALSE)),ISNUMBER(HLOOKUP("&lt;4 months",Stock_Men,Age15_29, FALSE))),IFERROR((HLOOKUP("Total",Stock_Men,Age15_29, FALSE)-HLOOKUP("&lt;4 months",Stock_Men,Age15_29, FALSE))/HLOOKUP("Total",Stock_Men,Age15_29, FALSE),":"),":")</f>
        <v>0.38294108396468612</v>
      </c>
      <c r="E13" s="54">
        <f>IF(AND(ISNUMBER(HLOOKUP("Total",Stock_Women,Age15_29, FALSE)),ISNUMBER(HLOOKUP("&lt;4 months",Stock_Women,Age15_29, FALSE))),IFERROR((HLOOKUP("Total",Stock_Women,Age15_29, FALSE)-HLOOKUP("&lt;4 months",Stock_Women,Age15_29, FALSE))/HLOOKUP("Total",Stock_Women,Age15_29, FALSE),":"),":")</f>
        <v>0.46255988989214197</v>
      </c>
      <c r="F13" s="52">
        <f>IF(AND(ISNUMBER(HLOOKUP("Total",Stock_Total,Age15_19, FALSE)),ISNUMBER(HLOOKUP("&lt;4 months",Stock_Total,Age15_19, FALSE))),IFERROR((HLOOKUP("Total",Stock_Total,Age15_19, FALSE)-HLOOKUP("&lt;4 months",Stock_Total,Age15_19, FALSE))/HLOOKUP("Total",Stock_Total,Age15_19, FALSE),":"),":")</f>
        <v>0.45027997107089862</v>
      </c>
      <c r="G13" s="53">
        <f>IF(AND(ISNUMBER(HLOOKUP("Total",Stock_Men,Age15_19, FALSE)),ISNUMBER(HLOOKUP("&lt;4 months",Stock_Men,Age15_19, FALSE))),IFERROR((HLOOKUP("Total",Stock_Men,Age15_19, FALSE)-HLOOKUP("&lt;4 months",Stock_Men,Age15_19, FALSE))/HLOOKUP("Total",Stock_Men,Age15_19, FALSE),":"),":")</f>
        <v>0.46052631578947367</v>
      </c>
      <c r="H13" s="54">
        <f>IF(AND(ISNUMBER(HLOOKUP("Total",Stock_Women,Age15_19, FALSE)),ISNUMBER(HLOOKUP("&lt;4 months",Stock_Women,Age15_19, FALSE))),IFERROR((HLOOKUP("Total",Stock_Women,Age15_19, FALSE)-HLOOKUP("&lt;4 months",Stock_Women,Age15_19, FALSE))/HLOOKUP("Total",Stock_Women,Age15_19, FALSE),":"),":")</f>
        <v>0.43724696356275305</v>
      </c>
      <c r="I13" s="52">
        <f>IF(AND(ISNUMBER(HLOOKUP("Total",Stock_Total,Age20_24, FALSE)),ISNUMBER(HLOOKUP("&lt;4 months",Stock_Total,Age20_24, FALSE))),IFERROR((HLOOKUP("Total",Stock_Total,Age20_24, FALSE)-HLOOKUP("&lt;4 months",Stock_Total,Age20_24, FALSE))/HLOOKUP("Total",Stock_Total,Age20_24, FALSE),":"),":")</f>
        <v>0.45479159651341894</v>
      </c>
      <c r="J13" s="53">
        <f>IF(AND(ISNUMBER(HLOOKUP("Total",Stock_Men,Age20_24, FALSE)),ISNUMBER(HLOOKUP("&lt;4 months",Stock_Men,Age20_24, FALSE))),IFERROR((HLOOKUP("Total",Stock_Men,Age20_24, FALSE)-HLOOKUP("&lt;4 months",Stock_Men,Age20_24, FALSE))/HLOOKUP("Total",Stock_Men,Age20_24, FALSE),":"),":")</f>
        <v>0.48058252427184461</v>
      </c>
      <c r="K13" s="54">
        <f>IF(AND(ISNUMBER(HLOOKUP("Total",Stock_Women,Age20_24, FALSE)),ISNUMBER(HLOOKUP("&lt;4 months",Stock_Women,Age20_24, FALSE))),IFERROR((HLOOKUP("Total",Stock_Women,Age20_24, FALSE)-HLOOKUP("&lt;4 months",Stock_Women,Age20_24, FALSE))/HLOOKUP("Total",Stock_Women,Age20_24, FALSE),":"),":")</f>
        <v>0.4042553191489362</v>
      </c>
      <c r="L13" s="52">
        <f>IF(AND(ISNUMBER(HLOOKUP("Total",Stock_Total,Age25_29, FALSE)),ISNUMBER(HLOOKUP("&lt;4 months",Stock_Total,Age25_29, FALSE))),IFERROR((HLOOKUP("Total",Stock_Total,Age25_29, FALSE)-HLOOKUP("&lt;4 months",Stock_Total,Age25_29, FALSE))/HLOOKUP("Total",Stock_Total,Age25_29, FALSE),":"),":")</f>
        <v>0.33118209896542045</v>
      </c>
      <c r="M13" s="53">
        <f>IF(AND(ISNUMBER(HLOOKUP("Total",Stock_Men,Age25_29, FALSE)),ISNUMBER(HLOOKUP("&lt;4 months",Stock_Men,Age25_29, FALSE))),IFERROR((HLOOKUP("Total",Stock_Men,Age25_29, FALSE)-HLOOKUP("&lt;4 months",Stock_Men,Age25_29, FALSE))/HLOOKUP("Total",Stock_Men,Age25_29, FALSE),":"),":")</f>
        <v>0.27536231884057971</v>
      </c>
      <c r="N13" s="54">
        <f>IF(AND(ISNUMBER(HLOOKUP("Total",Stock_Women,Age25_29, FALSE)),ISNUMBER(HLOOKUP("&lt;4 months",Stock_Women,Age25_29, FALSE))),IFERROR((HLOOKUP("Total",Stock_Women,Age25_29, FALSE)-HLOOKUP("&lt;4 months",Stock_Women,Age25_29, FALSE))/HLOOKUP("Total",Stock_Women,Age25_29, FALSE),":"),":")</f>
        <v>0.39344262295081972</v>
      </c>
    </row>
    <row r="14" spans="1:14" x14ac:dyDescent="0.35">
      <c r="A14" s="50" t="s">
        <v>9</v>
      </c>
      <c r="B14" s="51"/>
      <c r="C14" s="52">
        <f>IF(AND(ISNUMBER(C13),ISNUMBER(HLOOKUP("4-5 months",Stock_Total,Age15_29, FALSE))),IFERROR((HLOOKUP("Total",Stock_Total,Age15_29, FALSE)-HLOOKUP("&lt;4 months",Stock_Total,Age15_29, FALSE)-HLOOKUP("4-5 months",Stock_Total,Age15_29, FALSE))/HLOOKUP("Total",Stock_Total,Age15_29, FALSE),":"),":")</f>
        <v>0.28721825214010721</v>
      </c>
      <c r="D14" s="53">
        <f>IF(AND(ISNUMBER(D13),ISNUMBER(HLOOKUP("4-5 months",Stock_Men,Age15_29, FALSE))),IFERROR((HLOOKUP("Total",Stock_Men,Age15_29, FALSE)-HLOOKUP("&lt;4 months",Stock_Men,Age15_29, FALSE)-HLOOKUP("4-5 months",Stock_Men,Age15_29, FALSE))/HLOOKUP("Total",Stock_Men,Age15_29, FALSE),":"),":")</f>
        <v>0.24527623479555952</v>
      </c>
      <c r="E14" s="54">
        <f>IF(AND(ISNUMBER(E13),ISNUMBER(HLOOKUP("4-5 months",Stock_Women,Age15_29, FALSE))),IFERROR((HLOOKUP("Total",Stock_Women,Age15_29, FALSE)-HLOOKUP("&lt;4 months",Stock_Women,Age15_29, FALSE)-HLOOKUP("4-5 months",Stock_Women,Age15_29, FALSE))/HLOOKUP("Total",Stock_Women,Age15_29, FALSE),":"),":")</f>
        <v>0.33847086530109782</v>
      </c>
      <c r="F14" s="52">
        <f>IF(AND(ISNUMBER(F13),ISNUMBER(HLOOKUP("4-5 months",Stock_Total,Age15_19, FALSE))),IFERROR((HLOOKUP("Total",Stock_Total,Age15_19, FALSE)-HLOOKUP("&lt;4 months",Stock_Total,Age15_19, FALSE)-HLOOKUP("4-5 months",Stock_Total,Age15_19, FALSE))/HLOOKUP("Total",Stock_Total,Age15_19, FALSE),":"),":")</f>
        <v>0.33254300221441824</v>
      </c>
      <c r="G14" s="53">
        <f>IF(AND(ISNUMBER(G13),ISNUMBER(HLOOKUP("4-5 months",Stock_Men,Age15_19, FALSE))),IFERROR((HLOOKUP("Total",Stock_Men,Age15_19, FALSE)-HLOOKUP("&lt;4 months",Stock_Men,Age15_19, FALSE)-HLOOKUP("4-5 months",Stock_Men,Age15_19, FALSE))/HLOOKUP("Total",Stock_Men,Age15_19, FALSE),":"),":")</f>
        <v>0.35526315789473684</v>
      </c>
      <c r="H14" s="54">
        <f>IF(AND(ISNUMBER(H13),ISNUMBER(HLOOKUP("4-5 months",Stock_Women,Age15_19, FALSE))),IFERROR((HLOOKUP("Total",Stock_Women,Age15_19, FALSE)-HLOOKUP("&lt;4 months",Stock_Women,Age15_19, FALSE)-HLOOKUP("4-5 months",Stock_Women,Age15_19, FALSE))/HLOOKUP("Total",Stock_Women,Age15_19, FALSE),":"),":")</f>
        <v>0.30364372469635625</v>
      </c>
      <c r="I14" s="52">
        <f>IF(AND(ISNUMBER(I13),ISNUMBER(HLOOKUP("4-5 months",Stock_Total,Age20_24, FALSE))),IFERROR((HLOOKUP("Total",Stock_Total,Age20_24, FALSE)-HLOOKUP("&lt;4 months",Stock_Total,Age20_24, FALSE)-HLOOKUP("4-5 months",Stock_Total,Age20_24, FALSE))/HLOOKUP("Total",Stock_Total,Age20_24, FALSE),":"),":")</f>
        <v>0.30640847756212236</v>
      </c>
      <c r="J14" s="53">
        <f>IF(AND(ISNUMBER(J13),ISNUMBER(HLOOKUP("4-5 months",Stock_Men,Age20_24, FALSE))),IFERROR((HLOOKUP("Total",Stock_Men,Age20_24, FALSE)-HLOOKUP("&lt;4 months",Stock_Men,Age20_24, FALSE)-HLOOKUP("4-5 months",Stock_Men,Age20_24, FALSE))/HLOOKUP("Total",Stock_Men,Age20_24, FALSE),":"),":")</f>
        <v>0.32524271844660191</v>
      </c>
      <c r="K14" s="54">
        <f>IF(AND(ISNUMBER(K13),ISNUMBER(HLOOKUP("4-5 months",Stock_Women,Age20_24, FALSE))),IFERROR((HLOOKUP("Total",Stock_Women,Age20_24, FALSE)-HLOOKUP("&lt;4 months",Stock_Women,Age20_24, FALSE)-HLOOKUP("4-5 months",Stock_Women,Age20_24, FALSE))/HLOOKUP("Total",Stock_Women,Age20_24, FALSE),":"),":")</f>
        <v>0.26950354609929078</v>
      </c>
      <c r="L14" s="52">
        <f>IF(AND(ISNUMBER(L13),ISNUMBER(HLOOKUP("4-5 months",Stock_Total,Age25_29, FALSE))),IFERROR((HLOOKUP("Total",Stock_Total,Age25_29, FALSE)-HLOOKUP("&lt;4 months",Stock_Total,Age25_29, FALSE)-HLOOKUP("4-5 months",Stock_Total,Age25_29, FALSE))/HLOOKUP("Total",Stock_Total,Age25_29, FALSE),":"),":")</f>
        <v>0.24626017840558115</v>
      </c>
      <c r="M14" s="53">
        <f>IF(AND(ISNUMBER(M13),ISNUMBER(HLOOKUP("4-5 months",Stock_Men,Age25_29, FALSE))),IFERROR((HLOOKUP("Total",Stock_Men,Age25_29, FALSE)-HLOOKUP("&lt;4 months",Stock_Men,Age25_29, FALSE)-HLOOKUP("4-5 months",Stock_Men,Age25_29, FALSE))/HLOOKUP("Total",Stock_Men,Age25_29, FALSE),":"),":")</f>
        <v>0.23188405797101452</v>
      </c>
      <c r="N14" s="54">
        <f>IF(AND(ISNUMBER(N13),ISNUMBER(HLOOKUP("4-5 months",Stock_Women,Age25_29, FALSE))),IFERROR((HLOOKUP("Total",Stock_Women,Age25_29, FALSE)-HLOOKUP("&lt;4 months",Stock_Women,Age25_29, FALSE)-HLOOKUP("4-5 months",Stock_Women,Age25_29, FALSE))/HLOOKUP("Total",Stock_Women,Age25_29, FALSE),":"),":")</f>
        <v>0.26229508196721313</v>
      </c>
    </row>
    <row r="15" spans="1:14" ht="15" thickBot="1" x14ac:dyDescent="0.4">
      <c r="A15" s="55" t="s">
        <v>10</v>
      </c>
      <c r="B15" s="56"/>
      <c r="C15" s="57">
        <f>IF(AND(ISNUMBER(HLOOKUP("12+ months",Stock_Total,Age15_29, FALSE)),ISNUMBER(HLOOKUP("Total",Stock_Total,Age15_29, FALSE))),IFERROR(HLOOKUP("12+ months",Stock_Total,Age15_29, FALSE)/HLOOKUP("Total",Stock_Total,Age15_29, FALSE),":"),":")</f>
        <v>8.9351278695460626E-2</v>
      </c>
      <c r="D15" s="58">
        <f>IF(AND(ISNUMBER(HLOOKUP("12+ months",Stock_Men,Age15_29, FALSE)),ISNUMBER(HLOOKUP("Total",Stock_Men,Age15_29, FALSE))),IFERROR(HLOOKUP("12+ months",Stock_Men,Age15_29, FALSE)/HLOOKUP("Total",Stock_Men,Age15_29, FALSE),":"),":")</f>
        <v>0.10163939933483389</v>
      </c>
      <c r="E15" s="59">
        <f>IF(AND(ISNUMBER(HLOOKUP("12+ months",Stock_Women,Age15_29, FALSE)),ISNUMBER(HLOOKUP("Total",Stock_Women,Age15_29, FALSE))),IFERROR(HLOOKUP("12+ months",Stock_Women,Age15_29, FALSE)/HLOOKUP("Total",Stock_Women,Age15_29, FALSE),":"),":")</f>
        <v>7.4335351148826917E-2</v>
      </c>
      <c r="F15" s="57">
        <f>IF(AND(ISNUMBER(HLOOKUP("12+ months",Stock_Total,Age15_19, FALSE)),ISNUMBER(HLOOKUP("Total",Stock_Total,Age15_19, FALSE))),IFERROR(HLOOKUP("12+ months",Stock_Total,Age15_19, FALSE)/HLOOKUP("Total",Stock_Total,Age15_19, FALSE),":"),":")</f>
        <v>9.4571319927528139E-2</v>
      </c>
      <c r="G15" s="58">
        <f>IF(AND(ISNUMBER(HLOOKUP("12+ months",Stock_Men,Age15_19, FALSE)),ISNUMBER(HLOOKUP("Total",Stock_Men,Age15_19, FALSE))),IFERROR(HLOOKUP("12+ months",Stock_Men,Age15_19, FALSE)/HLOOKUP("Total",Stock_Men,Age15_19, FALSE),":"),":")</f>
        <v>0.10526315789473684</v>
      </c>
      <c r="H15" s="59">
        <f>IF(AND(ISNUMBER(HLOOKUP("12+ months",Stock_Women,Age15_19, FALSE)),ISNUMBER(HLOOKUP("Total",Stock_Women,Age15_19, FALSE))),IFERROR(HLOOKUP("12+ months",Stock_Women,Age15_19, FALSE)/HLOOKUP("Total",Stock_Women,Age15_19, FALSE),":"),":")</f>
        <v>8.0971659919028341E-2</v>
      </c>
      <c r="I15" s="57">
        <f>IF(AND(ISNUMBER(HLOOKUP("12+ months",Stock_Total,Age20_24, FALSE)),ISNUMBER(HLOOKUP("Total",Stock_Total,Age20_24, FALSE))),IFERROR(HLOOKUP("12+ months",Stock_Total,Age20_24, FALSE)/HLOOKUP("Total",Stock_Total,Age20_24, FALSE),":"),":")</f>
        <v>8.7428475128571048E-2</v>
      </c>
      <c r="J15" s="58">
        <f>IF(AND(ISNUMBER(HLOOKUP("12+ months",Stock_Men,Age20_24, FALSE)),ISNUMBER(HLOOKUP("Total",Stock_Men,Age20_24, FALSE))),IFERROR(HLOOKUP("12+ months",Stock_Men,Age20_24, FALSE)/HLOOKUP("Total",Stock_Men,Age20_24, FALSE),":"),":")</f>
        <v>9.2233009708737865E-2</v>
      </c>
      <c r="K15" s="59">
        <f>IF(AND(ISNUMBER(HLOOKUP("12+ months",Stock_Women,Age20_24, FALSE)),ISNUMBER(HLOOKUP("Total",Stock_Women,Age20_24, FALSE))),IFERROR(HLOOKUP("12+ months",Stock_Women,Age20_24, FALSE)/HLOOKUP("Total",Stock_Women,Age20_24, FALSE),":"),":")</f>
        <v>7.8014184397163122E-2</v>
      </c>
      <c r="L15" s="57">
        <f>IF(AND(ISNUMBER(HLOOKUP("12+ months",Stock_Total,Age25_29, FALSE)),ISNUMBER(HLOOKUP("Total",Stock_Total,Age25_29, FALSE))),IFERROR(HLOOKUP("12+ months",Stock_Total,Age25_29, FALSE)/HLOOKUP("Total",Stock_Total,Age25_29, FALSE),":"),":")</f>
        <v>3.8748137108792838E-2</v>
      </c>
      <c r="M15" s="58">
        <f>IF(AND(ISNUMBER(HLOOKUP("12+ months",Stock_Men,Age25_29, FALSE)),ISNUMBER(HLOOKUP("Total",Stock_Men,Age25_29, FALSE))),IFERROR(HLOOKUP("12+ months",Stock_Men,Age25_29, FALSE)/HLOOKUP("Total",Stock_Men,Age25_29, FALSE),":"),":")</f>
        <v>0</v>
      </c>
      <c r="N15" s="59">
        <f>IF(AND(ISNUMBER(HLOOKUP("12+ months",Stock_Women,Age25_29, FALSE)),ISNUMBER(HLOOKUP("Total",Stock_Women,Age25_29, FALSE))),IFERROR(HLOOKUP("12+ months",Stock_Women,Age25_29, FALSE)/HLOOKUP("Total",Stock_Women,Age25_29, FALSE),":"),":")</f>
        <v>8.1967213114754092E-2</v>
      </c>
    </row>
    <row r="16" spans="1:14" ht="15" thickTop="1" x14ac:dyDescent="0.35"/>
    <row r="17" spans="1:14" s="45" customFormat="1" x14ac:dyDescent="0.35">
      <c r="A17" s="45" t="s">
        <v>191</v>
      </c>
      <c r="C17" s="45" t="s">
        <v>158</v>
      </c>
    </row>
    <row r="18" spans="1:14" s="45" customFormat="1" ht="30" customHeight="1" x14ac:dyDescent="0.35">
      <c r="C18" s="371" t="s">
        <v>442</v>
      </c>
      <c r="D18" s="371"/>
      <c r="E18" s="371"/>
      <c r="F18" s="371"/>
      <c r="G18" s="371"/>
      <c r="H18" s="371"/>
      <c r="I18" s="371"/>
    </row>
    <row r="19" spans="1:14" ht="15" thickBot="1" x14ac:dyDescent="0.4"/>
    <row r="20" spans="1:14" ht="15.75" customHeight="1" thickTop="1" x14ac:dyDescent="0.35">
      <c r="A20" s="361" t="s">
        <v>29</v>
      </c>
      <c r="B20" s="369"/>
      <c r="C20" s="365" t="s">
        <v>240</v>
      </c>
      <c r="D20" s="366"/>
      <c r="E20" s="367"/>
      <c r="F20" s="365" t="s">
        <v>11</v>
      </c>
      <c r="G20" s="366"/>
      <c r="H20" s="367"/>
      <c r="I20" s="368" t="s">
        <v>13</v>
      </c>
      <c r="J20" s="366"/>
      <c r="K20" s="367"/>
      <c r="L20" s="365" t="s">
        <v>239</v>
      </c>
      <c r="M20" s="366"/>
      <c r="N20" s="373"/>
    </row>
    <row r="21" spans="1:14" x14ac:dyDescent="0.35">
      <c r="A21" s="363"/>
      <c r="B21" s="370"/>
      <c r="C21" s="49" t="s">
        <v>3</v>
      </c>
      <c r="D21" s="47" t="s">
        <v>4</v>
      </c>
      <c r="E21" s="48" t="s">
        <v>5</v>
      </c>
      <c r="F21" s="49" t="s">
        <v>3</v>
      </c>
      <c r="G21" s="47" t="s">
        <v>4</v>
      </c>
      <c r="H21" s="48" t="s">
        <v>5</v>
      </c>
      <c r="I21" s="46" t="s">
        <v>3</v>
      </c>
      <c r="J21" s="47" t="s">
        <v>4</v>
      </c>
      <c r="K21" s="48" t="s">
        <v>5</v>
      </c>
      <c r="L21" s="49" t="s">
        <v>3</v>
      </c>
      <c r="M21" s="47" t="s">
        <v>4</v>
      </c>
      <c r="N21" s="204" t="s">
        <v>5</v>
      </c>
    </row>
    <row r="22" spans="1:14" x14ac:dyDescent="0.35">
      <c r="A22" s="209" t="s">
        <v>30</v>
      </c>
      <c r="B22" s="210"/>
      <c r="C22" s="206" t="str">
        <f t="shared" ref="C22:E22" si="0">IF(COUNT(C23:C26)&gt;0,SUM(C23:C26),":")</f>
        <v>:</v>
      </c>
      <c r="D22" s="207" t="str">
        <f t="shared" si="0"/>
        <v>:</v>
      </c>
      <c r="E22" s="208" t="str">
        <f t="shared" si="0"/>
        <v>:</v>
      </c>
      <c r="F22" s="206" t="str">
        <f t="shared" ref="F22:K22" si="1">IF(COUNT(F23:F26)&gt;0,SUM(F23:F26),":")</f>
        <v>:</v>
      </c>
      <c r="G22" s="207" t="str">
        <f t="shared" si="1"/>
        <v>:</v>
      </c>
      <c r="H22" s="208" t="str">
        <f t="shared" si="1"/>
        <v>:</v>
      </c>
      <c r="I22" s="206" t="str">
        <f t="shared" si="1"/>
        <v>:</v>
      </c>
      <c r="J22" s="207" t="str">
        <f t="shared" si="1"/>
        <v>:</v>
      </c>
      <c r="K22" s="208" t="str">
        <f t="shared" si="1"/>
        <v>:</v>
      </c>
      <c r="L22" s="206" t="str">
        <f t="shared" ref="L22:N22" si="2">IF(COUNT(L23:L26)&gt;0,SUM(L23:L26),":")</f>
        <v>:</v>
      </c>
      <c r="M22" s="207" t="str">
        <f t="shared" si="2"/>
        <v>:</v>
      </c>
      <c r="N22" s="208" t="str">
        <f t="shared" si="2"/>
        <v>:</v>
      </c>
    </row>
    <row r="23" spans="1:14" x14ac:dyDescent="0.35">
      <c r="A23" s="50"/>
      <c r="B23" s="60" t="s">
        <v>15</v>
      </c>
      <c r="C23" s="52" t="str">
        <f>IF(ISNUMBER(HLOOKUP($B23,Exits_4m_Tot,Age15_29, FALSE)),IFERROR(HLOOKUP($B23,Exits_4m_Tot,Age15_29, FALSE)/HLOOKUP("Total",Exits_Tot_Tot,Age15_29, FALSE),":"),":")</f>
        <v>:</v>
      </c>
      <c r="D23" s="53" t="str">
        <f>IF(ISNUMBER(HLOOKUP($B23,Exits_4m_Men,Age15_29, FALSE)),IFERROR(HLOOKUP($B23,Exits_4m_Men,Age15_29, FALSE)/HLOOKUP("Total",Exits_Tot_Men,Age15_29, FALSE),":"),":")</f>
        <v>:</v>
      </c>
      <c r="E23" s="54" t="str">
        <f>IF(ISNUMBER(HLOOKUP($B23,Exits_4m_Women,Age15_29, FALSE)),IFERROR(HLOOKUP($B23,Exits_4m_Women,Age15_29, FALSE)/HLOOKUP("Total",Exits_Tot_Women,Age15_29, FALSE),":"),":")</f>
        <v>:</v>
      </c>
      <c r="F23" s="52" t="str">
        <f>IF(ISNUMBER(HLOOKUP($B23,Exits_4m_Tot,Age15_19, FALSE)),IFERROR(HLOOKUP($B23,Exits_4m_Tot,Age15_19, FALSE)/HLOOKUP("Total",Exits_Tot_Tot,Age15_19, FALSE),":"),":")</f>
        <v>:</v>
      </c>
      <c r="G23" s="53" t="str">
        <f>IF(ISNUMBER(HLOOKUP($B23,Exits_4m_Men,Age15_19, FALSE)),IFERROR(HLOOKUP($B23,Exits_4m_Men,Age15_19, FALSE)/HLOOKUP("Total",Exits_Tot_Men,Age15_19, FALSE),":"),":")</f>
        <v>:</v>
      </c>
      <c r="H23" s="54" t="str">
        <f>IF(ISNUMBER(HLOOKUP($B23,Exits_4m_Women,Age15_19, FALSE)),IFERROR(HLOOKUP($B23,Exits_4m_Women,Age15_19, FALSE)/HLOOKUP("Total",Exits_Tot_Women,Age15_19, FALSE),":"),":")</f>
        <v>:</v>
      </c>
      <c r="I23" s="52" t="str">
        <f>IF(ISNUMBER(HLOOKUP($B23,Exits_4m_Tot,Age20_24, FALSE)),IFERROR(HLOOKUP($B23,Exits_4m_Tot,Age20_24, FALSE)/HLOOKUP("Total",Exits_Tot_Tot,Age20_24, FALSE),":"),":")</f>
        <v>:</v>
      </c>
      <c r="J23" s="53" t="str">
        <f>IF(ISNUMBER(HLOOKUP($B23,Exits_4m_Men,Age20_24, FALSE)),IFERROR(HLOOKUP($B23,Exits_4m_Men,Age20_24, FALSE)/HLOOKUP("Total",Exits_Tot_Men,Age20_24, FALSE),":"),":")</f>
        <v>:</v>
      </c>
      <c r="K23" s="54" t="str">
        <f>IF(ISNUMBER(HLOOKUP($B23,Exits_4m_Women,Age20_24, FALSE)),IFERROR(HLOOKUP($B23,Exits_4m_Women,Age20_24, FALSE)/HLOOKUP("Total",Exits_Tot_Women,Age20_24, FALSE),":"),":")</f>
        <v>:</v>
      </c>
      <c r="L23" s="52" t="str">
        <f>IF(ISNUMBER(HLOOKUP($B23,Exits_4m_Tot,Age25_29, FALSE)),IFERROR(HLOOKUP($B23,Exits_4m_Tot,Age25_29, FALSE)/HLOOKUP("Total",Exits_Tot_Tot,Age25_29, FALSE),":"),":")</f>
        <v>:</v>
      </c>
      <c r="M23" s="53" t="str">
        <f>IF(ISNUMBER(HLOOKUP($B23,Exits_4m_Men,Age25_29, FALSE)),IFERROR(HLOOKUP($B23,Exits_4m_Men,Age25_29, FALSE)/HLOOKUP("Total",Exits_Tot_Men,Age25_29, FALSE),":"),":")</f>
        <v>:</v>
      </c>
      <c r="N23" s="54" t="str">
        <f>IF(ISNUMBER(HLOOKUP($B23,Exits_4m_Women,Age25_29, FALSE)),IFERROR(HLOOKUP($B23,Exits_4m_Women,Age25_29, FALSE)/HLOOKUP("Total",Exits_Tot_Women,Age25_29, FALSE),":"),":")</f>
        <v>:</v>
      </c>
    </row>
    <row r="24" spans="1:14" x14ac:dyDescent="0.35">
      <c r="A24" s="50"/>
      <c r="B24" s="60" t="s">
        <v>16</v>
      </c>
      <c r="C24" s="52" t="str">
        <f>IF(ISNUMBER(HLOOKUP($B24,Exits_4m_Tot,Age15_29, FALSE)),IFERROR(HLOOKUP($B24,Exits_4m_Tot,Age15_29, FALSE)/HLOOKUP("Total",Exits_Tot_Tot,Age15_29, FALSE),":"),":")</f>
        <v>:</v>
      </c>
      <c r="D24" s="53" t="str">
        <f>IF(ISNUMBER(HLOOKUP($B24,Exits_4m_Men,Age15_29, FALSE)),IFERROR(HLOOKUP($B24,Exits_4m_Men,Age15_29, FALSE)/HLOOKUP("Total",Exits_Tot_Men,Age15_29, FALSE),":"),":")</f>
        <v>:</v>
      </c>
      <c r="E24" s="54" t="str">
        <f>IF(ISNUMBER(HLOOKUP($B24,Exits_4m_Women,Age15_29, FALSE)),IFERROR(HLOOKUP($B24,Exits_4m_Women,Age15_29, FALSE)/HLOOKUP("Total",Exits_Tot_Women,Age15_29, FALSE),":"),":")</f>
        <v>:</v>
      </c>
      <c r="F24" s="52" t="str">
        <f>IF(ISNUMBER(HLOOKUP($B24,Exits_4m_Tot,Age15_19, FALSE)),IFERROR(HLOOKUP($B24,Exits_4m_Tot,Age15_19, FALSE)/HLOOKUP("Total",Exits_Tot_Tot,Age15_19, FALSE),":"),":")</f>
        <v>:</v>
      </c>
      <c r="G24" s="53" t="str">
        <f>IF(ISNUMBER(HLOOKUP($B24,Exits_4m_Men,Age15_19, FALSE)),IFERROR(HLOOKUP($B24,Exits_4m_Men,Age15_19, FALSE)/HLOOKUP("Total",Exits_Tot_Men,Age15_19, FALSE),":"),":")</f>
        <v>:</v>
      </c>
      <c r="H24" s="54" t="str">
        <f>IF(ISNUMBER(HLOOKUP($B24,Exits_4m_Women,Age15_19, FALSE)),IFERROR(HLOOKUP($B24,Exits_4m_Women,Age15_19, FALSE)/HLOOKUP("Total",Exits_Tot_Women,Age15_19, FALSE),":"),":")</f>
        <v>:</v>
      </c>
      <c r="I24" s="52" t="str">
        <f>IF(ISNUMBER(HLOOKUP($B24,Exits_4m_Tot,Age20_24, FALSE)),IFERROR(HLOOKUP($B24,Exits_4m_Tot,Age20_24, FALSE)/HLOOKUP("Total",Exits_Tot_Tot,Age20_24, FALSE),":"),":")</f>
        <v>:</v>
      </c>
      <c r="J24" s="53" t="str">
        <f>IF(ISNUMBER(HLOOKUP($B24,Exits_4m_Men,Age20_24, FALSE)),IFERROR(HLOOKUP($B24,Exits_4m_Men,Age20_24, FALSE)/HLOOKUP("Total",Exits_Tot_Men,Age20_24, FALSE),":"),":")</f>
        <v>:</v>
      </c>
      <c r="K24" s="54" t="str">
        <f>IF(ISNUMBER(HLOOKUP($B24,Exits_4m_Women,Age20_24, FALSE)),IFERROR(HLOOKUP($B24,Exits_4m_Women,Age20_24, FALSE)/HLOOKUP("Total",Exits_Tot_Women,Age20_24, FALSE),":"),":")</f>
        <v>:</v>
      </c>
      <c r="L24" s="52" t="str">
        <f>IF(ISNUMBER(HLOOKUP($B24,Exits_4m_Tot,Age25_29, FALSE)),IFERROR(HLOOKUP($B24,Exits_4m_Tot,Age25_29, FALSE)/HLOOKUP("Total",Exits_Tot_Tot,Age25_29, FALSE),":"),":")</f>
        <v>:</v>
      </c>
      <c r="M24" s="53" t="str">
        <f>IF(ISNUMBER(HLOOKUP($B24,Exits_4m_Men,Age25_29, FALSE)),IFERROR(HLOOKUP($B24,Exits_4m_Men,Age25_29, FALSE)/HLOOKUP("Total",Exits_Tot_Men,Age25_29, FALSE),":"),":")</f>
        <v>:</v>
      </c>
      <c r="N24" s="54" t="str">
        <f>IF(ISNUMBER(HLOOKUP($B24,Exits_4m_Women,Age25_29, FALSE)),IFERROR(HLOOKUP($B24,Exits_4m_Women,Age25_29, FALSE)/HLOOKUP("Total",Exits_Tot_Women,Age25_29, FALSE),":"),":")</f>
        <v>:</v>
      </c>
    </row>
    <row r="25" spans="1:14" x14ac:dyDescent="0.35">
      <c r="A25" s="50"/>
      <c r="B25" s="60" t="s">
        <v>17</v>
      </c>
      <c r="C25" s="52" t="str">
        <f>IF(ISNUMBER(HLOOKUP($B25,Exits_4m_Tot,Age15_29, FALSE)),IFERROR(HLOOKUP($B25,Exits_4m_Tot,Age15_29, FALSE)/HLOOKUP("Total",Exits_Tot_Tot,Age15_29, FALSE),":"),":")</f>
        <v>:</v>
      </c>
      <c r="D25" s="53" t="str">
        <f>IF(ISNUMBER(HLOOKUP($B25,Exits_4m_Men,Age15_29, FALSE)),IFERROR(HLOOKUP($B25,Exits_4m_Men,Age15_29, FALSE)/HLOOKUP("Total",Exits_Tot_Men,Age15_29, FALSE),":"),":")</f>
        <v>:</v>
      </c>
      <c r="E25" s="54" t="str">
        <f>IF(ISNUMBER(HLOOKUP($B25,Exits_4m_Women,Age15_29, FALSE)),IFERROR(HLOOKUP($B25,Exits_4m_Women,Age15_29, FALSE)/HLOOKUP("Total",Exits_Tot_Women,Age15_29, FALSE),":"),":")</f>
        <v>:</v>
      </c>
      <c r="F25" s="52" t="str">
        <f>IF(ISNUMBER(HLOOKUP($B25,Exits_4m_Tot,Age15_19, FALSE)),IFERROR(HLOOKUP($B25,Exits_4m_Tot,Age15_19, FALSE)/HLOOKUP("Total",Exits_Tot_Tot,Age15_19, FALSE),":"),":")</f>
        <v>:</v>
      </c>
      <c r="G25" s="53" t="str">
        <f>IF(ISNUMBER(HLOOKUP($B25,Exits_4m_Men,Age15_19, FALSE)),IFERROR(HLOOKUP($B25,Exits_4m_Men,Age15_19, FALSE)/HLOOKUP("Total",Exits_Tot_Men,Age15_19, FALSE),":"),":")</f>
        <v>:</v>
      </c>
      <c r="H25" s="54" t="str">
        <f>IF(ISNUMBER(HLOOKUP($B25,Exits_4m_Women,Age15_19, FALSE)),IFERROR(HLOOKUP($B25,Exits_4m_Women,Age15_19, FALSE)/HLOOKUP("Total",Exits_Tot_Women,Age15_19, FALSE),":"),":")</f>
        <v>:</v>
      </c>
      <c r="I25" s="52" t="str">
        <f>IF(ISNUMBER(HLOOKUP($B25,Exits_4m_Tot,Age20_24, FALSE)),IFERROR(HLOOKUP($B25,Exits_4m_Tot,Age20_24, FALSE)/HLOOKUP("Total",Exits_Tot_Tot,Age20_24, FALSE),":"),":")</f>
        <v>:</v>
      </c>
      <c r="J25" s="53" t="str">
        <f>IF(ISNUMBER(HLOOKUP($B25,Exits_4m_Men,Age20_24, FALSE)),IFERROR(HLOOKUP($B25,Exits_4m_Men,Age20_24, FALSE)/HLOOKUP("Total",Exits_Tot_Men,Age20_24, FALSE),":"),":")</f>
        <v>:</v>
      </c>
      <c r="K25" s="54" t="str">
        <f>IF(ISNUMBER(HLOOKUP($B25,Exits_4m_Women,Age20_24, FALSE)),IFERROR(HLOOKUP($B25,Exits_4m_Women,Age20_24, FALSE)/HLOOKUP("Total",Exits_Tot_Women,Age20_24, FALSE),":"),":")</f>
        <v>:</v>
      </c>
      <c r="L25" s="52" t="str">
        <f>IF(ISNUMBER(HLOOKUP($B25,Exits_4m_Tot,Age25_29, FALSE)),IFERROR(HLOOKUP($B25,Exits_4m_Tot,Age25_29, FALSE)/HLOOKUP("Total",Exits_Tot_Tot,Age25_29, FALSE),":"),":")</f>
        <v>:</v>
      </c>
      <c r="M25" s="53" t="str">
        <f>IF(ISNUMBER(HLOOKUP($B25,Exits_4m_Men,Age25_29, FALSE)),IFERROR(HLOOKUP($B25,Exits_4m_Men,Age25_29, FALSE)/HLOOKUP("Total",Exits_Tot_Men,Age25_29, FALSE),":"),":")</f>
        <v>:</v>
      </c>
      <c r="N25" s="54" t="str">
        <f>IF(ISNUMBER(HLOOKUP($B25,Exits_4m_Women,Age25_29, FALSE)),IFERROR(HLOOKUP($B25,Exits_4m_Women,Age25_29, FALSE)/HLOOKUP("Total",Exits_Tot_Women,Age25_29, FALSE),":"),":")</f>
        <v>:</v>
      </c>
    </row>
    <row r="26" spans="1:14" x14ac:dyDescent="0.35">
      <c r="A26" s="50"/>
      <c r="B26" s="60" t="s">
        <v>18</v>
      </c>
      <c r="C26" s="52" t="str">
        <f>IF(ISNUMBER(HLOOKUP($B26,Exits_4m_Tot,Age15_29, FALSE)),IFERROR(HLOOKUP($B26,Exits_4m_Tot,Age15_29, FALSE)/HLOOKUP("Total",Exits_Tot_Tot,Age15_29, FALSE),":"),":")</f>
        <v>:</v>
      </c>
      <c r="D26" s="53" t="str">
        <f>IF(ISNUMBER(HLOOKUP($B26,Exits_4m_Men,Age15_29, FALSE)),IFERROR(HLOOKUP($B26,Exits_4m_Men,Age15_29, FALSE)/HLOOKUP("Total",Exits_Tot_Men,Age15_29, FALSE),":"),":")</f>
        <v>:</v>
      </c>
      <c r="E26" s="54" t="str">
        <f>IF(ISNUMBER(HLOOKUP($B26,Exits_4m_Women,Age15_29, FALSE)),IFERROR(HLOOKUP($B26,Exits_4m_Women,Age15_29, FALSE)/HLOOKUP("Total",Exits_Tot_Women,Age15_29, FALSE),":"),":")</f>
        <v>:</v>
      </c>
      <c r="F26" s="52" t="str">
        <f>IF(ISNUMBER(HLOOKUP($B26,Exits_4m_Tot,Age15_19, FALSE)),IFERROR(HLOOKUP($B26,Exits_4m_Tot,Age15_19, FALSE)/HLOOKUP("Total",Exits_Tot_Tot,Age15_19, FALSE),":"),":")</f>
        <v>:</v>
      </c>
      <c r="G26" s="53" t="str">
        <f>IF(ISNUMBER(HLOOKUP($B26,Exits_4m_Men,Age15_19, FALSE)),IFERROR(HLOOKUP($B26,Exits_4m_Men,Age15_19, FALSE)/HLOOKUP("Total",Exits_Tot_Men,Age15_19, FALSE),":"),":")</f>
        <v>:</v>
      </c>
      <c r="H26" s="54" t="str">
        <f>IF(ISNUMBER(HLOOKUP($B26,Exits_4m_Women,Age15_19, FALSE)),IFERROR(HLOOKUP($B26,Exits_4m_Women,Age15_19, FALSE)/HLOOKUP("Total",Exits_Tot_Women,Age15_19, FALSE),":"),":")</f>
        <v>:</v>
      </c>
      <c r="I26" s="52" t="str">
        <f>IF(ISNUMBER(HLOOKUP($B26,Exits_4m_Tot,Age20_24, FALSE)),IFERROR(HLOOKUP($B26,Exits_4m_Tot,Age20_24, FALSE)/HLOOKUP("Total",Exits_Tot_Tot,Age20_24, FALSE),":"),":")</f>
        <v>:</v>
      </c>
      <c r="J26" s="53" t="str">
        <f>IF(ISNUMBER(HLOOKUP($B26,Exits_4m_Men,Age20_24, FALSE)),IFERROR(HLOOKUP($B26,Exits_4m_Men,Age20_24, FALSE)/HLOOKUP("Total",Exits_Tot_Men,Age20_24, FALSE),":"),":")</f>
        <v>:</v>
      </c>
      <c r="K26" s="54" t="str">
        <f>IF(ISNUMBER(HLOOKUP($B26,Exits_4m_Women,Age20_24, FALSE)),IFERROR(HLOOKUP($B26,Exits_4m_Women,Age20_24, FALSE)/HLOOKUP("Total",Exits_Tot_Women,Age20_24, FALSE),":"),":")</f>
        <v>:</v>
      </c>
      <c r="L26" s="52" t="str">
        <f>IF(ISNUMBER(HLOOKUP($B26,Exits_4m_Tot,Age25_29, FALSE)),IFERROR(HLOOKUP($B26,Exits_4m_Tot,Age25_29, FALSE)/HLOOKUP("Total",Exits_Tot_Tot,Age25_29, FALSE),":"),":")</f>
        <v>:</v>
      </c>
      <c r="M26" s="53" t="str">
        <f>IF(ISNUMBER(HLOOKUP($B26,Exits_4m_Men,Age25_29, FALSE)),IFERROR(HLOOKUP($B26,Exits_4m_Men,Age25_29, FALSE)/HLOOKUP("Total",Exits_Tot_Men,Age25_29, FALSE),":"),":")</f>
        <v>:</v>
      </c>
      <c r="N26" s="54" t="str">
        <f>IF(ISNUMBER(HLOOKUP($B26,Exits_4m_Women,Age25_29, FALSE)),IFERROR(HLOOKUP($B26,Exits_4m_Women,Age25_29, FALSE)/HLOOKUP("Total",Exits_Tot_Women,Age25_29, FALSE),":"),":")</f>
        <v>:</v>
      </c>
    </row>
    <row r="27" spans="1:14" x14ac:dyDescent="0.35">
      <c r="A27" s="209" t="s">
        <v>19</v>
      </c>
      <c r="B27" s="211"/>
      <c r="C27" s="206" t="str">
        <f t="shared" ref="C27:E27" si="3">IF(COUNT(C28:C31)&gt;0,SUM(C28:C31),":")</f>
        <v>:</v>
      </c>
      <c r="D27" s="207" t="str">
        <f t="shared" si="3"/>
        <v>:</v>
      </c>
      <c r="E27" s="208" t="str">
        <f t="shared" si="3"/>
        <v>:</v>
      </c>
      <c r="F27" s="206" t="str">
        <f t="shared" ref="F27:K27" si="4">IF(COUNT(F28:F31)&gt;0,SUM(F28:F31),":")</f>
        <v>:</v>
      </c>
      <c r="G27" s="207" t="str">
        <f t="shared" si="4"/>
        <v>:</v>
      </c>
      <c r="H27" s="208" t="str">
        <f t="shared" si="4"/>
        <v>:</v>
      </c>
      <c r="I27" s="206" t="str">
        <f t="shared" si="4"/>
        <v>:</v>
      </c>
      <c r="J27" s="207" t="str">
        <f t="shared" si="4"/>
        <v>:</v>
      </c>
      <c r="K27" s="208" t="str">
        <f t="shared" si="4"/>
        <v>:</v>
      </c>
      <c r="L27" s="206" t="str">
        <f t="shared" ref="L27:N27" si="5">IF(COUNT(L28:L31)&gt;0,SUM(L28:L31),":")</f>
        <v>:</v>
      </c>
      <c r="M27" s="207" t="str">
        <f t="shared" si="5"/>
        <v>:</v>
      </c>
      <c r="N27" s="208" t="str">
        <f t="shared" si="5"/>
        <v>:</v>
      </c>
    </row>
    <row r="28" spans="1:14" x14ac:dyDescent="0.35">
      <c r="A28" s="50"/>
      <c r="B28" s="60" t="s">
        <v>22</v>
      </c>
      <c r="C28" s="52" t="str">
        <f>IF(ISNUMBER(HLOOKUP($B28,Exits_4m_Tot,Age15_29, FALSE)),IFERROR(HLOOKUP($B28,Exits_4m_Tot,Age15_29, FALSE)/HLOOKUP("Total",Exits_Tot_Tot,Age15_29, FALSE),":"),":")</f>
        <v>:</v>
      </c>
      <c r="D28" s="53" t="str">
        <f>IF(ISNUMBER(HLOOKUP($B28,Exits_4m_Men,Age15_29, FALSE)),IFERROR(HLOOKUP($B28,Exits_4m_Men,Age15_29, FALSE)/HLOOKUP("Total",Exits_Tot_Men,Age15_29, FALSE),":"),":")</f>
        <v>:</v>
      </c>
      <c r="E28" s="54" t="str">
        <f>IF(ISNUMBER(HLOOKUP($B28,Exits_4m_Women,Age15_29, FALSE)),IFERROR(HLOOKUP($B28,Exits_4m_Women,Age15_29, FALSE)/HLOOKUP("Total",Exits_Tot_Women,Age15_29, FALSE),":"),":")</f>
        <v>:</v>
      </c>
      <c r="F28" s="52" t="str">
        <f>IF(ISNUMBER(HLOOKUP($B28,Exits_4m_Tot,Age15_19, FALSE)),IFERROR(HLOOKUP($B28,Exits_4m_Tot,Age15_19, FALSE)/HLOOKUP("Total",Exits_Tot_Tot,Age15_19, FALSE),":"),":")</f>
        <v>:</v>
      </c>
      <c r="G28" s="53" t="str">
        <f>IF(ISNUMBER(HLOOKUP($B28,Exits_4m_Men,Age15_19, FALSE)),IFERROR(HLOOKUP($B28,Exits_4m_Men,Age15_19, FALSE)/HLOOKUP("Total",Exits_Tot_Men,Age15_19, FALSE),":"),":")</f>
        <v>:</v>
      </c>
      <c r="H28" s="54" t="str">
        <f>IF(ISNUMBER(HLOOKUP($B28,Exits_4m_Women,Age15_19, FALSE)),IFERROR(HLOOKUP($B28,Exits_4m_Women,Age15_19, FALSE)/HLOOKUP("Total",Exits_Tot_Women,Age15_19, FALSE),":"),":")</f>
        <v>:</v>
      </c>
      <c r="I28" s="52" t="str">
        <f>IF(ISNUMBER(HLOOKUP($B28,Exits_4m_Tot,Age20_24, FALSE)),IFERROR(HLOOKUP($B28,Exits_4m_Tot,Age20_24, FALSE)/HLOOKUP("Total",Exits_Tot_Tot,Age20_24, FALSE),":"),":")</f>
        <v>:</v>
      </c>
      <c r="J28" s="53" t="str">
        <f>IF(ISNUMBER(HLOOKUP($B28,Exits_4m_Men,Age20_24, FALSE)),IFERROR(HLOOKUP($B28,Exits_4m_Men,Age20_24, FALSE)/HLOOKUP("Total",Exits_Tot_Men,Age20_24, FALSE),":"),":")</f>
        <v>:</v>
      </c>
      <c r="K28" s="54" t="str">
        <f>IF(ISNUMBER(HLOOKUP($B28,Exits_4m_Women,Age20_24, FALSE)),IFERROR(HLOOKUP($B28,Exits_4m_Women,Age20_24, FALSE)/HLOOKUP("Total",Exits_Tot_Women,Age20_24, FALSE),":"),":")</f>
        <v>:</v>
      </c>
      <c r="L28" s="52" t="str">
        <f>IF(ISNUMBER(HLOOKUP($B28,Exits_4m_Tot,Age25_29, FALSE)),IFERROR(HLOOKUP($B28,Exits_4m_Tot,Age25_29, FALSE)/HLOOKUP("Total",Exits_Tot_Tot,Age25_29, FALSE),":"),":")</f>
        <v>:</v>
      </c>
      <c r="M28" s="53" t="str">
        <f>IF(ISNUMBER(HLOOKUP($B28,Exits_4m_Men,Age25_29, FALSE)),IFERROR(HLOOKUP($B28,Exits_4m_Men,Age25_29, FALSE)/HLOOKUP("Total",Exits_Tot_Men,Age25_29, FALSE),":"),":")</f>
        <v>:</v>
      </c>
      <c r="N28" s="54" t="str">
        <f>IF(ISNUMBER(HLOOKUP($B28,Exits_4m_Women,Age25_29, FALSE)),IFERROR(HLOOKUP($B28,Exits_4m_Women,Age25_29, FALSE)/HLOOKUP("Total",Exits_Tot_Women,Age25_29, FALSE),":"),":")</f>
        <v>:</v>
      </c>
    </row>
    <row r="29" spans="1:14" x14ac:dyDescent="0.35">
      <c r="A29" s="50"/>
      <c r="B29" s="60" t="s">
        <v>26</v>
      </c>
      <c r="C29" s="52" t="str">
        <f>IF(ISNUMBER(HLOOKUP($B29,Exits_4m_Tot,Age15_29, FALSE)),IFERROR(HLOOKUP($B29,Exits_4m_Tot,Age15_29, FALSE)/HLOOKUP("Total",Exits_Tot_Tot,Age15_29, FALSE),":"),":")</f>
        <v>:</v>
      </c>
      <c r="D29" s="53" t="str">
        <f>IF(ISNUMBER(HLOOKUP($B29,Exits_4m_Men,Age15_29, FALSE)),IFERROR(HLOOKUP($B29,Exits_4m_Men,Age15_29, FALSE)/HLOOKUP("Total",Exits_Tot_Men,Age15_29, FALSE),":"),":")</f>
        <v>:</v>
      </c>
      <c r="E29" s="54" t="str">
        <f>IF(ISNUMBER(HLOOKUP($B29,Exits_4m_Women,Age15_29, FALSE)),IFERROR(HLOOKUP($B29,Exits_4m_Women,Age15_29, FALSE)/HLOOKUP("Total",Exits_Tot_Women,Age15_29, FALSE),":"),":")</f>
        <v>:</v>
      </c>
      <c r="F29" s="52" t="str">
        <f>IF(ISNUMBER(HLOOKUP($B29,Exits_4m_Tot,Age15_19, FALSE)),IFERROR(HLOOKUP($B29,Exits_4m_Tot,Age15_19, FALSE)/HLOOKUP("Total",Exits_Tot_Tot,Age15_19, FALSE),":"),":")</f>
        <v>:</v>
      </c>
      <c r="G29" s="53" t="str">
        <f>IF(ISNUMBER(HLOOKUP($B29,Exits_4m_Men,Age15_19, FALSE)),IFERROR(HLOOKUP($B29,Exits_4m_Men,Age15_19, FALSE)/HLOOKUP("Total",Exits_Tot_Men,Age15_19, FALSE),":"),":")</f>
        <v>:</v>
      </c>
      <c r="H29" s="54" t="str">
        <f>IF(ISNUMBER(HLOOKUP($B29,Exits_4m_Women,Age15_19, FALSE)),IFERROR(HLOOKUP($B29,Exits_4m_Women,Age15_19, FALSE)/HLOOKUP("Total",Exits_Tot_Women,Age15_19, FALSE),":"),":")</f>
        <v>:</v>
      </c>
      <c r="I29" s="52" t="str">
        <f>IF(ISNUMBER(HLOOKUP($B29,Exits_4m_Tot,Age20_24, FALSE)),IFERROR(HLOOKUP($B29,Exits_4m_Tot,Age20_24, FALSE)/HLOOKUP("Total",Exits_Tot_Tot,Age20_24, FALSE),":"),":")</f>
        <v>:</v>
      </c>
      <c r="J29" s="53" t="str">
        <f>IF(ISNUMBER(HLOOKUP($B29,Exits_4m_Men,Age20_24, FALSE)),IFERROR(HLOOKUP($B29,Exits_4m_Men,Age20_24, FALSE)/HLOOKUP("Total",Exits_Tot_Men,Age20_24, FALSE),":"),":")</f>
        <v>:</v>
      </c>
      <c r="K29" s="54" t="str">
        <f>IF(ISNUMBER(HLOOKUP($B29,Exits_4m_Women,Age20_24, FALSE)),IFERROR(HLOOKUP($B29,Exits_4m_Women,Age20_24, FALSE)/HLOOKUP("Total",Exits_Tot_Women,Age20_24, FALSE),":"),":")</f>
        <v>:</v>
      </c>
      <c r="L29" s="52" t="str">
        <f>IF(ISNUMBER(HLOOKUP($B29,Exits_4m_Tot,Age25_29, FALSE)),IFERROR(HLOOKUP($B29,Exits_4m_Tot,Age25_29, FALSE)/HLOOKUP("Total",Exits_Tot_Tot,Age25_29, FALSE),":"),":")</f>
        <v>:</v>
      </c>
      <c r="M29" s="53" t="str">
        <f>IF(ISNUMBER(HLOOKUP($B29,Exits_4m_Men,Age25_29, FALSE)),IFERROR(HLOOKUP($B29,Exits_4m_Men,Age25_29, FALSE)/HLOOKUP("Total",Exits_Tot_Men,Age25_29, FALSE),":"),":")</f>
        <v>:</v>
      </c>
      <c r="N29" s="54" t="str">
        <f>IF(ISNUMBER(HLOOKUP($B29,Exits_4m_Women,Age25_29, FALSE)),IFERROR(HLOOKUP($B29,Exits_4m_Women,Age25_29, FALSE)/HLOOKUP("Total",Exits_Tot_Women,Age25_29, FALSE),":"),":")</f>
        <v>:</v>
      </c>
    </row>
    <row r="30" spans="1:14" x14ac:dyDescent="0.35">
      <c r="A30" s="50"/>
      <c r="B30" s="60" t="s">
        <v>27</v>
      </c>
      <c r="C30" s="52" t="str">
        <f>IF(ISNUMBER(HLOOKUP($B30,Exits_4m_Tot,Age15_29, FALSE)),IFERROR(HLOOKUP($B30,Exits_4m_Tot,Age15_29, FALSE)/HLOOKUP("Total",Exits_Tot_Tot,Age15_29, FALSE),":"),":")</f>
        <v>:</v>
      </c>
      <c r="D30" s="53" t="str">
        <f>IF(ISNUMBER(HLOOKUP($B30,Exits_4m_Men,Age15_29, FALSE)),IFERROR(HLOOKUP($B30,Exits_4m_Men,Age15_29, FALSE)/HLOOKUP("Total",Exits_Tot_Men,Age15_29, FALSE),":"),":")</f>
        <v>:</v>
      </c>
      <c r="E30" s="54" t="str">
        <f>IF(ISNUMBER(HLOOKUP($B30,Exits_4m_Women,Age15_29, FALSE)),IFERROR(HLOOKUP($B30,Exits_4m_Women,Age15_29, FALSE)/HLOOKUP("Total",Exits_Tot_Women,Age15_29, FALSE),":"),":")</f>
        <v>:</v>
      </c>
      <c r="F30" s="52" t="str">
        <f>IF(ISNUMBER(HLOOKUP($B30,Exits_4m_Tot,Age15_19, FALSE)),IFERROR(HLOOKUP($B30,Exits_4m_Tot,Age15_19, FALSE)/HLOOKUP("Total",Exits_Tot_Tot,Age15_19, FALSE),":"),":")</f>
        <v>:</v>
      </c>
      <c r="G30" s="53" t="str">
        <f>IF(ISNUMBER(HLOOKUP($B30,Exits_4m_Men,Age15_19, FALSE)),IFERROR(HLOOKUP($B30,Exits_4m_Men,Age15_19, FALSE)/HLOOKUP("Total",Exits_Tot_Men,Age15_19, FALSE),":"),":")</f>
        <v>:</v>
      </c>
      <c r="H30" s="54" t="str">
        <f>IF(ISNUMBER(HLOOKUP($B30,Exits_4m_Women,Age15_19, FALSE)),IFERROR(HLOOKUP($B30,Exits_4m_Women,Age15_19, FALSE)/HLOOKUP("Total",Exits_Tot_Women,Age15_19, FALSE),":"),":")</f>
        <v>:</v>
      </c>
      <c r="I30" s="52" t="str">
        <f>IF(ISNUMBER(HLOOKUP($B30,Exits_4m_Tot,Age20_24, FALSE)),IFERROR(HLOOKUP($B30,Exits_4m_Tot,Age20_24, FALSE)/HLOOKUP("Total",Exits_Tot_Tot,Age20_24, FALSE),":"),":")</f>
        <v>:</v>
      </c>
      <c r="J30" s="53" t="str">
        <f>IF(ISNUMBER(HLOOKUP($B30,Exits_4m_Men,Age20_24, FALSE)),IFERROR(HLOOKUP($B30,Exits_4m_Men,Age20_24, FALSE)/HLOOKUP("Total",Exits_Tot_Men,Age20_24, FALSE),":"),":")</f>
        <v>:</v>
      </c>
      <c r="K30" s="54" t="str">
        <f>IF(ISNUMBER(HLOOKUP($B30,Exits_4m_Women,Age20_24, FALSE)),IFERROR(HLOOKUP($B30,Exits_4m_Women,Age20_24, FALSE)/HLOOKUP("Total",Exits_Tot_Women,Age20_24, FALSE),":"),":")</f>
        <v>:</v>
      </c>
      <c r="L30" s="52" t="str">
        <f>IF(ISNUMBER(HLOOKUP($B30,Exits_4m_Tot,Age25_29, FALSE)),IFERROR(HLOOKUP($B30,Exits_4m_Tot,Age25_29, FALSE)/HLOOKUP("Total",Exits_Tot_Tot,Age25_29, FALSE),":"),":")</f>
        <v>:</v>
      </c>
      <c r="M30" s="53" t="str">
        <f>IF(ISNUMBER(HLOOKUP($B30,Exits_4m_Men,Age25_29, FALSE)),IFERROR(HLOOKUP($B30,Exits_4m_Men,Age25_29, FALSE)/HLOOKUP("Total",Exits_Tot_Men,Age25_29, FALSE),":"),":")</f>
        <v>:</v>
      </c>
      <c r="N30" s="54" t="str">
        <f>IF(ISNUMBER(HLOOKUP($B30,Exits_4m_Women,Age25_29, FALSE)),IFERROR(HLOOKUP($B30,Exits_4m_Women,Age25_29, FALSE)/HLOOKUP("Total",Exits_Tot_Women,Age25_29, FALSE),":"),":")</f>
        <v>:</v>
      </c>
    </row>
    <row r="31" spans="1:14" ht="15" thickBot="1" x14ac:dyDescent="0.4">
      <c r="A31" s="55"/>
      <c r="B31" s="61" t="s">
        <v>28</v>
      </c>
      <c r="C31" s="57" t="str">
        <f>IF(ISNUMBER(HLOOKUP($B31,Exits_4m_Tot,Age15_29, FALSE)),IFERROR(HLOOKUP($B31,Exits_4m_Tot,Age15_29, FALSE)/HLOOKUP("Total",Exits_Tot_Tot,Age15_29, FALSE),":"),":")</f>
        <v>:</v>
      </c>
      <c r="D31" s="58" t="str">
        <f>IF(ISNUMBER(HLOOKUP($B31,Exits_4m_Men,Age15_29, FALSE)),IFERROR(HLOOKUP($B31,Exits_4m_Men,Age15_29, FALSE)/HLOOKUP("Total",Exits_Tot_Men,Age15_29, FALSE),":"),":")</f>
        <v>:</v>
      </c>
      <c r="E31" s="59" t="str">
        <f>IF(ISNUMBER(HLOOKUP($B31,Exits_4m_Women,Age15_29, FALSE)),IFERROR(HLOOKUP($B31,Exits_4m_Women,Age15_29, FALSE)/HLOOKUP("Total",Exits_Tot_Women,Age15_29, FALSE),":"),":")</f>
        <v>:</v>
      </c>
      <c r="F31" s="57" t="str">
        <f>IF(ISNUMBER(HLOOKUP($B31,Exits_4m_Tot,Age15_19, FALSE)),IFERROR(HLOOKUP($B31,Exits_4m_Tot,Age15_19, FALSE)/HLOOKUP("Total",Exits_Tot_Tot,Age15_19, FALSE),":"),":")</f>
        <v>:</v>
      </c>
      <c r="G31" s="58" t="str">
        <f>IF(ISNUMBER(HLOOKUP($B31,Exits_4m_Men,Age15_19, FALSE)),IFERROR(HLOOKUP($B31,Exits_4m_Men,Age15_19, FALSE)/HLOOKUP("Total",Exits_Tot_Men,Age15_19, FALSE),":"),":")</f>
        <v>:</v>
      </c>
      <c r="H31" s="59" t="str">
        <f>IF(ISNUMBER(HLOOKUP($B31,Exits_4m_Women,Age15_19, FALSE)),IFERROR(HLOOKUP($B31,Exits_4m_Women,Age15_19, FALSE)/HLOOKUP("Total",Exits_Tot_Women,Age15_19, FALSE),":"),":")</f>
        <v>:</v>
      </c>
      <c r="I31" s="57" t="str">
        <f>IF(ISNUMBER(HLOOKUP($B31,Exits_4m_Tot,Age20_24, FALSE)),IFERROR(HLOOKUP($B31,Exits_4m_Tot,Age20_24, FALSE)/HLOOKUP("Total",Exits_Tot_Tot,Age20_24, FALSE),":"),":")</f>
        <v>:</v>
      </c>
      <c r="J31" s="58" t="str">
        <f>IF(ISNUMBER(HLOOKUP($B31,Exits_4m_Men,Age20_24, FALSE)),IFERROR(HLOOKUP($B31,Exits_4m_Men,Age20_24, FALSE)/HLOOKUP("Total",Exits_Tot_Men,Age20_24, FALSE),":"),":")</f>
        <v>:</v>
      </c>
      <c r="K31" s="59" t="str">
        <f>IF(ISNUMBER(HLOOKUP($B31,Exits_4m_Women,Age20_24, FALSE)),IFERROR(HLOOKUP($B31,Exits_4m_Women,Age20_24, FALSE)/HLOOKUP("Total",Exits_Tot_Women,Age20_24, FALSE),":"),":")</f>
        <v>:</v>
      </c>
      <c r="L31" s="57" t="str">
        <f>IF(ISNUMBER(HLOOKUP($B31,Exits_4m_Tot,Age25_29, FALSE)),IFERROR(HLOOKUP($B31,Exits_4m_Tot,Age25_29, FALSE)/HLOOKUP("Total",Exits_Tot_Tot,Age25_29, FALSE),":"),":")</f>
        <v>:</v>
      </c>
      <c r="M31" s="58" t="str">
        <f>IF(ISNUMBER(HLOOKUP($B31,Exits_4m_Men,Age25_29, FALSE)),IFERROR(HLOOKUP($B31,Exits_4m_Men,Age25_29, FALSE)/HLOOKUP("Total",Exits_Tot_Men,Age25_29, FALSE),":"),":")</f>
        <v>:</v>
      </c>
      <c r="N31" s="59" t="str">
        <f>IF(ISNUMBER(HLOOKUP($B31,Exits_4m_Women,Age25_29, FALSE)),IFERROR(HLOOKUP($B31,Exits_4m_Women,Age25_29, FALSE)/HLOOKUP("Total",Exits_Tot_Women,Age25_29, FALSE),":"),":")</f>
        <v>:</v>
      </c>
    </row>
    <row r="32" spans="1:14" ht="15" thickTop="1" x14ac:dyDescent="0.35"/>
    <row r="34" spans="1:14" s="44" customFormat="1" x14ac:dyDescent="0.35">
      <c r="A34" s="44" t="s">
        <v>188</v>
      </c>
    </row>
    <row r="36" spans="1:14" s="45" customFormat="1" x14ac:dyDescent="0.35">
      <c r="A36" s="45" t="s">
        <v>210</v>
      </c>
      <c r="C36" s="45" t="s">
        <v>189</v>
      </c>
    </row>
    <row r="37" spans="1:14" s="45" customFormat="1" ht="45.75" customHeight="1" x14ac:dyDescent="0.35">
      <c r="C37" s="371" t="s">
        <v>444</v>
      </c>
      <c r="D37" s="371"/>
      <c r="E37" s="371"/>
      <c r="F37" s="371"/>
      <c r="G37" s="371"/>
      <c r="H37" s="371"/>
      <c r="I37" s="371"/>
      <c r="J37" s="371"/>
      <c r="K37" s="371"/>
    </row>
    <row r="38" spans="1:14" ht="15" thickBot="1" x14ac:dyDescent="0.4"/>
    <row r="39" spans="1:14" ht="15.75" customHeight="1" thickTop="1" x14ac:dyDescent="0.35">
      <c r="A39" s="361" t="s">
        <v>192</v>
      </c>
      <c r="B39" s="369"/>
      <c r="C39" s="365" t="s">
        <v>240</v>
      </c>
      <c r="D39" s="366"/>
      <c r="E39" s="367"/>
      <c r="F39" s="365" t="s">
        <v>11</v>
      </c>
      <c r="G39" s="366"/>
      <c r="H39" s="367"/>
      <c r="I39" s="368" t="s">
        <v>13</v>
      </c>
      <c r="J39" s="366"/>
      <c r="K39" s="367"/>
      <c r="L39" s="365" t="s">
        <v>239</v>
      </c>
      <c r="M39" s="366"/>
      <c r="N39" s="373"/>
    </row>
    <row r="40" spans="1:14" x14ac:dyDescent="0.35">
      <c r="A40" s="363"/>
      <c r="B40" s="370"/>
      <c r="C40" s="49" t="s">
        <v>3</v>
      </c>
      <c r="D40" s="47" t="s">
        <v>4</v>
      </c>
      <c r="E40" s="48" t="s">
        <v>5</v>
      </c>
      <c r="F40" s="49" t="s">
        <v>3</v>
      </c>
      <c r="G40" s="47" t="s">
        <v>4</v>
      </c>
      <c r="H40" s="48" t="s">
        <v>5</v>
      </c>
      <c r="I40" s="46" t="s">
        <v>3</v>
      </c>
      <c r="J40" s="47" t="s">
        <v>4</v>
      </c>
      <c r="K40" s="48" t="s">
        <v>5</v>
      </c>
      <c r="L40" s="49" t="s">
        <v>3</v>
      </c>
      <c r="M40" s="47" t="s">
        <v>4</v>
      </c>
      <c r="N40" s="204" t="s">
        <v>5</v>
      </c>
    </row>
    <row r="41" spans="1:14" x14ac:dyDescent="0.35">
      <c r="A41" s="99" t="s">
        <v>193</v>
      </c>
      <c r="B41" s="100"/>
      <c r="C41" s="206">
        <f t="shared" ref="C41:E41" si="6">IF(COUNT(C42:C45)&gt;0,SUM(C42:C45),":")</f>
        <v>0</v>
      </c>
      <c r="D41" s="207">
        <f t="shared" si="6"/>
        <v>0</v>
      </c>
      <c r="E41" s="208">
        <f t="shared" si="6"/>
        <v>0</v>
      </c>
      <c r="F41" s="206">
        <f t="shared" ref="F41:K41" si="7">IF(COUNT(F42:F45)&gt;0,SUM(F42:F45),":")</f>
        <v>0</v>
      </c>
      <c r="G41" s="207">
        <f t="shared" si="7"/>
        <v>0</v>
      </c>
      <c r="H41" s="208">
        <f t="shared" si="7"/>
        <v>0</v>
      </c>
      <c r="I41" s="206">
        <f t="shared" si="7"/>
        <v>0</v>
      </c>
      <c r="J41" s="207">
        <f t="shared" si="7"/>
        <v>0</v>
      </c>
      <c r="K41" s="208">
        <f t="shared" si="7"/>
        <v>0</v>
      </c>
      <c r="L41" s="206">
        <f t="shared" ref="L41:N41" si="8">IF(COUNT(L42:L45)&gt;0,SUM(L42:L45),":")</f>
        <v>0</v>
      </c>
      <c r="M41" s="207">
        <f t="shared" si="8"/>
        <v>0</v>
      </c>
      <c r="N41" s="208">
        <f t="shared" si="8"/>
        <v>0</v>
      </c>
    </row>
    <row r="42" spans="1:14" outlineLevel="1" x14ac:dyDescent="0.35">
      <c r="A42" s="50"/>
      <c r="B42" s="60" t="s">
        <v>15</v>
      </c>
      <c r="C42" s="52">
        <f>IFERROR(HLOOKUP($B42,FUT_6_Tot_Tot,Age15_29, FALSE)/(HLOOKUP("Total",FUT_6_Tot_Tot,Age15_29, FALSE)-HLOOKUP("Not applicable",FUT_6_Tot_Tot,Age15_29, FALSE)),":")</f>
        <v>0</v>
      </c>
      <c r="D42" s="53">
        <f>IFERROR(HLOOKUP($B42,FUT_6_Tot_Men,Age15_29, FALSE)/(HLOOKUP("Total",FUT_6_Tot_Men,Age15_29, FALSE)-HLOOKUP("Not applicable",FUT_6_Tot_Men,Age15_29, FALSE)),":")</f>
        <v>0</v>
      </c>
      <c r="E42" s="54">
        <f>IFERROR(HLOOKUP($B42,FUT_6_Tot_Women,Age15_29, FALSE)/(HLOOKUP("Total",FUT_6_Tot_Women,Age15_29, FALSE)-HLOOKUP("Not applicable",FUT_6_Tot_Women,Age15_29, FALSE)),":")</f>
        <v>0</v>
      </c>
      <c r="F42" s="52">
        <f>IFERROR(HLOOKUP($B42,FUT_6_Tot_Tot,Age15_19, FALSE)/(HLOOKUP("Total",FUT_6_Tot_Tot,Age15_19, FALSE)-HLOOKUP("Not applicable",FUT_6_Tot_Tot,Age15_19, FALSE)),":")</f>
        <v>0</v>
      </c>
      <c r="G42" s="53">
        <f>IFERROR(HLOOKUP($B42,FUT_6_Tot_Men,Age15_19, FALSE)/(HLOOKUP("Total",FUT_6_Tot_Men,Age15_19, FALSE)-HLOOKUP("Not applicable",FUT_6_Tot_Men,Age15_19, FALSE)),":")</f>
        <v>0</v>
      </c>
      <c r="H42" s="54">
        <f>IFERROR(HLOOKUP($B42,FUT_6_Tot_Women,Age15_19, FALSE)/(HLOOKUP("Total",FUT_6_Tot_Women,Age15_19, FALSE)-HLOOKUP("Not applicable",FUT_6_Tot_Women,Age15_19, FALSE)),":")</f>
        <v>0</v>
      </c>
      <c r="I42" s="52">
        <f>IFERROR(HLOOKUP($B42,FUT_6_Tot_Tot,Age20_24, FALSE)/(HLOOKUP("Total",FUT_6_Tot_Tot,Age20_24, FALSE)-HLOOKUP("Not applicable",FUT_6_Tot_Tot,Age20_24, FALSE)),":")</f>
        <v>0</v>
      </c>
      <c r="J42" s="53">
        <f>IFERROR(HLOOKUP($B42,FUT_6_Tot_Men,Age20_24, FALSE)/(HLOOKUP("Total",FUT_6_Tot_Men,Age20_24, FALSE)-HLOOKUP("Not applicable",FUT_6_Tot_Men,Age20_24, FALSE)),":")</f>
        <v>0</v>
      </c>
      <c r="K42" s="54">
        <f>IFERROR(HLOOKUP($B42,FUT_6_Tot_Women,Age20_24, FALSE)/(HLOOKUP("Total",FUT_6_Tot_Women,Age20_24, FALSE)-HLOOKUP("Not applicable",FUT_6_Tot_Women,Age20_24, FALSE)),":")</f>
        <v>0</v>
      </c>
      <c r="L42" s="52">
        <f>IFERROR(HLOOKUP($B42,FUT_6_Tot_Tot,Age25_29, FALSE)/(HLOOKUP("Total",FUT_6_Tot_Tot,Age25_29, FALSE)-HLOOKUP("Not applicable",FUT_6_Tot_Tot,Age25_29, FALSE)),":")</f>
        <v>0</v>
      </c>
      <c r="M42" s="53">
        <f>IFERROR(HLOOKUP($B42,FUT_6_Tot_Men,Age25_29, FALSE)/(HLOOKUP("Total",FUT_6_Tot_Men,Age25_29, FALSE)-HLOOKUP("Not applicable",FUT_6_Tot_Men,Age25_29, FALSE)),":")</f>
        <v>0</v>
      </c>
      <c r="N42" s="54">
        <f>IFERROR(HLOOKUP($B42,FUT_6_Tot_Women,Age25_29, FALSE)/(HLOOKUP("Total",FUT_6_Tot_Women,Age25_29, FALSE)-HLOOKUP("Not applicable",FUT_6_Tot_Women,Age25_29, FALSE)),":")</f>
        <v>0</v>
      </c>
    </row>
    <row r="43" spans="1:14" outlineLevel="1" x14ac:dyDescent="0.35">
      <c r="A43" s="50"/>
      <c r="B43" s="60" t="s">
        <v>16</v>
      </c>
      <c r="C43" s="52">
        <f>IFERROR(HLOOKUP($B43,FUT_6_Tot_Tot,Age15_29, FALSE)/(HLOOKUP("Total",FUT_6_Tot_Tot,Age15_29, FALSE)-HLOOKUP("Not applicable",FUT_6_Tot_Tot,Age15_29, FALSE)),":")</f>
        <v>0</v>
      </c>
      <c r="D43" s="53">
        <f>IFERROR(HLOOKUP($B43,FUT_6_Tot_Men,Age15_29, FALSE)/(HLOOKUP("Total",FUT_6_Tot_Men,Age15_29, FALSE)-HLOOKUP("Not applicable",FUT_6_Tot_Men,Age15_29, FALSE)),":")</f>
        <v>0</v>
      </c>
      <c r="E43" s="54">
        <f>IFERROR(HLOOKUP($B43,FUT_6_Tot_Women,Age15_29, FALSE)/(HLOOKUP("Total",FUT_6_Tot_Women,Age15_29, FALSE)-HLOOKUP("Not applicable",FUT_6_Tot_Women,Age15_29, FALSE)),":")</f>
        <v>0</v>
      </c>
      <c r="F43" s="52">
        <f>IFERROR(HLOOKUP($B43,FUT_6_Tot_Tot,Age15_19, FALSE)/(HLOOKUP("Total",FUT_6_Tot_Tot,Age15_19, FALSE)-HLOOKUP("Not applicable",FUT_6_Tot_Tot,Age15_19, FALSE)),":")</f>
        <v>0</v>
      </c>
      <c r="G43" s="53">
        <f>IFERROR(HLOOKUP($B43,FUT_6_Tot_Men,Age15_19, FALSE)/(HLOOKUP("Total",FUT_6_Tot_Men,Age15_19, FALSE)-HLOOKUP("Not applicable",FUT_6_Tot_Men,Age15_19, FALSE)),":")</f>
        <v>0</v>
      </c>
      <c r="H43" s="54">
        <f>IFERROR(HLOOKUP($B43,FUT_6_Tot_Women,Age15_19, FALSE)/(HLOOKUP("Total",FUT_6_Tot_Women,Age15_19, FALSE)-HLOOKUP("Not applicable",FUT_6_Tot_Women,Age15_19, FALSE)),":")</f>
        <v>0</v>
      </c>
      <c r="I43" s="52">
        <f>IFERROR(HLOOKUP($B43,FUT_6_Tot_Tot,Age20_24, FALSE)/(HLOOKUP("Total",FUT_6_Tot_Tot,Age20_24, FALSE)-HLOOKUP("Not applicable",FUT_6_Tot_Tot,Age20_24, FALSE)),":")</f>
        <v>0</v>
      </c>
      <c r="J43" s="53">
        <f>IFERROR(HLOOKUP($B43,FUT_6_Tot_Men,Age20_24, FALSE)/(HLOOKUP("Total",FUT_6_Tot_Men,Age20_24, FALSE)-HLOOKUP("Not applicable",FUT_6_Tot_Men,Age20_24, FALSE)),":")</f>
        <v>0</v>
      </c>
      <c r="K43" s="54">
        <f>IFERROR(HLOOKUP($B43,FUT_6_Tot_Women,Age20_24, FALSE)/(HLOOKUP("Total",FUT_6_Tot_Women,Age20_24, FALSE)-HLOOKUP("Not applicable",FUT_6_Tot_Women,Age20_24, FALSE)),":")</f>
        <v>0</v>
      </c>
      <c r="L43" s="52">
        <f>IFERROR(HLOOKUP($B43,FUT_6_Tot_Tot,Age25_29, FALSE)/(HLOOKUP("Total",FUT_6_Tot_Tot,Age25_29, FALSE)-HLOOKUP("Not applicable",FUT_6_Tot_Tot,Age25_29, FALSE)),":")</f>
        <v>0</v>
      </c>
      <c r="M43" s="53">
        <f>IFERROR(HLOOKUP($B43,FUT_6_Tot_Men,Age25_29, FALSE)/(HLOOKUP("Total",FUT_6_Tot_Men,Age25_29, FALSE)-HLOOKUP("Not applicable",FUT_6_Tot_Men,Age25_29, FALSE)),":")</f>
        <v>0</v>
      </c>
      <c r="N43" s="54">
        <f>IFERROR(HLOOKUP($B43,FUT_6_Tot_Women,Age25_29, FALSE)/(HLOOKUP("Total",FUT_6_Tot_Women,Age25_29, FALSE)-HLOOKUP("Not applicable",FUT_6_Tot_Women,Age25_29, FALSE)),":")</f>
        <v>0</v>
      </c>
    </row>
    <row r="44" spans="1:14" outlineLevel="1" x14ac:dyDescent="0.35">
      <c r="A44" s="50"/>
      <c r="B44" s="60" t="s">
        <v>17</v>
      </c>
      <c r="C44" s="52">
        <f>IFERROR(HLOOKUP($B44,FUT_6_Tot_Tot,Age15_29, FALSE)/(HLOOKUP("Total",FUT_6_Tot_Tot,Age15_29, FALSE)-HLOOKUP("Not applicable",FUT_6_Tot_Tot,Age15_29, FALSE)),":")</f>
        <v>0</v>
      </c>
      <c r="D44" s="53">
        <f>IFERROR(HLOOKUP($B44,FUT_6_Tot_Men,Age15_29, FALSE)/(HLOOKUP("Total",FUT_6_Tot_Men,Age15_29, FALSE)-HLOOKUP("Not applicable",FUT_6_Tot_Men,Age15_29, FALSE)),":")</f>
        <v>0</v>
      </c>
      <c r="E44" s="54">
        <f>IFERROR(HLOOKUP($B44,FUT_6_Tot_Women,Age15_29, FALSE)/(HLOOKUP("Total",FUT_6_Tot_Women,Age15_29, FALSE)-HLOOKUP("Not applicable",FUT_6_Tot_Women,Age15_29, FALSE)),":")</f>
        <v>0</v>
      </c>
      <c r="F44" s="52">
        <f>IFERROR(HLOOKUP($B44,FUT_6_Tot_Tot,Age15_19, FALSE)/(HLOOKUP("Total",FUT_6_Tot_Tot,Age15_19, FALSE)-HLOOKUP("Not applicable",FUT_6_Tot_Tot,Age15_19, FALSE)),":")</f>
        <v>0</v>
      </c>
      <c r="G44" s="53">
        <f>IFERROR(HLOOKUP($B44,FUT_6_Tot_Men,Age15_19, FALSE)/(HLOOKUP("Total",FUT_6_Tot_Men,Age15_19, FALSE)-HLOOKUP("Not applicable",FUT_6_Tot_Men,Age15_19, FALSE)),":")</f>
        <v>0</v>
      </c>
      <c r="H44" s="54">
        <f>IFERROR(HLOOKUP($B44,FUT_6_Tot_Women,Age15_19, FALSE)/(HLOOKUP("Total",FUT_6_Tot_Women,Age15_19, FALSE)-HLOOKUP("Not applicable",FUT_6_Tot_Women,Age15_19, FALSE)),":")</f>
        <v>0</v>
      </c>
      <c r="I44" s="52">
        <f>IFERROR(HLOOKUP($B44,FUT_6_Tot_Tot,Age20_24, FALSE)/(HLOOKUP("Total",FUT_6_Tot_Tot,Age20_24, FALSE)-HLOOKUP("Not applicable",FUT_6_Tot_Tot,Age20_24, FALSE)),":")</f>
        <v>0</v>
      </c>
      <c r="J44" s="53">
        <f>IFERROR(HLOOKUP($B44,FUT_6_Tot_Men,Age20_24, FALSE)/(HLOOKUP("Total",FUT_6_Tot_Men,Age20_24, FALSE)-HLOOKUP("Not applicable",FUT_6_Tot_Men,Age20_24, FALSE)),":")</f>
        <v>0</v>
      </c>
      <c r="K44" s="54">
        <f>IFERROR(HLOOKUP($B44,FUT_6_Tot_Women,Age20_24, FALSE)/(HLOOKUP("Total",FUT_6_Tot_Women,Age20_24, FALSE)-HLOOKUP("Not applicable",FUT_6_Tot_Women,Age20_24, FALSE)),":")</f>
        <v>0</v>
      </c>
      <c r="L44" s="52">
        <f>IFERROR(HLOOKUP($B44,FUT_6_Tot_Tot,Age25_29, FALSE)/(HLOOKUP("Total",FUT_6_Tot_Tot,Age25_29, FALSE)-HLOOKUP("Not applicable",FUT_6_Tot_Tot,Age25_29, FALSE)),":")</f>
        <v>0</v>
      </c>
      <c r="M44" s="53">
        <f>IFERROR(HLOOKUP($B44,FUT_6_Tot_Men,Age25_29, FALSE)/(HLOOKUP("Total",FUT_6_Tot_Men,Age25_29, FALSE)-HLOOKUP("Not applicable",FUT_6_Tot_Men,Age25_29, FALSE)),":")</f>
        <v>0</v>
      </c>
      <c r="N44" s="54">
        <f>IFERROR(HLOOKUP($B44,FUT_6_Tot_Women,Age25_29, FALSE)/(HLOOKUP("Total",FUT_6_Tot_Women,Age25_29, FALSE)-HLOOKUP("Not applicable",FUT_6_Tot_Women,Age25_29, FALSE)),":")</f>
        <v>0</v>
      </c>
    </row>
    <row r="45" spans="1:14" outlineLevel="1" x14ac:dyDescent="0.35">
      <c r="A45" s="50"/>
      <c r="B45" s="60" t="s">
        <v>18</v>
      </c>
      <c r="C45" s="52">
        <f>IFERROR(HLOOKUP($B45,FUT_6_Tot_Tot,Age15_29, FALSE)/(HLOOKUP("Total",FUT_6_Tot_Tot,Age15_29, FALSE)-HLOOKUP("Not applicable",FUT_6_Tot_Tot,Age15_29, FALSE)),":")</f>
        <v>0</v>
      </c>
      <c r="D45" s="53">
        <f>IFERROR(HLOOKUP($B45,FUT_6_Tot_Men,Age15_29, FALSE)/(HLOOKUP("Total",FUT_6_Tot_Men,Age15_29, FALSE)-HLOOKUP("Not applicable",FUT_6_Tot_Men,Age15_29, FALSE)),":")</f>
        <v>0</v>
      </c>
      <c r="E45" s="54">
        <f>IFERROR(HLOOKUP($B45,FUT_6_Tot_Women,Age15_29, FALSE)/(HLOOKUP("Total",FUT_6_Tot_Women,Age15_29, FALSE)-HLOOKUP("Not applicable",FUT_6_Tot_Women,Age15_29, FALSE)),":")</f>
        <v>0</v>
      </c>
      <c r="F45" s="52">
        <f>IFERROR(HLOOKUP($B45,FUT_6_Tot_Tot,Age15_19, FALSE)/(HLOOKUP("Total",FUT_6_Tot_Tot,Age15_19, FALSE)-HLOOKUP("Not applicable",FUT_6_Tot_Tot,Age15_19, FALSE)),":")</f>
        <v>0</v>
      </c>
      <c r="G45" s="53">
        <f>IFERROR(HLOOKUP($B45,FUT_6_Tot_Men,Age15_19, FALSE)/(HLOOKUP("Total",FUT_6_Tot_Men,Age15_19, FALSE)-HLOOKUP("Not applicable",FUT_6_Tot_Men,Age15_19, FALSE)),":")</f>
        <v>0</v>
      </c>
      <c r="H45" s="54">
        <f>IFERROR(HLOOKUP($B45,FUT_6_Tot_Women,Age15_19, FALSE)/(HLOOKUP("Total",FUT_6_Tot_Women,Age15_19, FALSE)-HLOOKUP("Not applicable",FUT_6_Tot_Women,Age15_19, FALSE)),":")</f>
        <v>0</v>
      </c>
      <c r="I45" s="52">
        <f>IFERROR(HLOOKUP($B45,FUT_6_Tot_Tot,Age20_24, FALSE)/(HLOOKUP("Total",FUT_6_Tot_Tot,Age20_24, FALSE)-HLOOKUP("Not applicable",FUT_6_Tot_Tot,Age20_24, FALSE)),":")</f>
        <v>0</v>
      </c>
      <c r="J45" s="53">
        <f>IFERROR(HLOOKUP($B45,FUT_6_Tot_Men,Age20_24, FALSE)/(HLOOKUP("Total",FUT_6_Tot_Men,Age20_24, FALSE)-HLOOKUP("Not applicable",FUT_6_Tot_Men,Age20_24, FALSE)),":")</f>
        <v>0</v>
      </c>
      <c r="K45" s="54">
        <f>IFERROR(HLOOKUP($B45,FUT_6_Tot_Women,Age20_24, FALSE)/(HLOOKUP("Total",FUT_6_Tot_Women,Age20_24, FALSE)-HLOOKUP("Not applicable",FUT_6_Tot_Women,Age20_24, FALSE)),":")</f>
        <v>0</v>
      </c>
      <c r="L45" s="52">
        <f>IFERROR(HLOOKUP($B45,FUT_6_Tot_Tot,Age25_29, FALSE)/(HLOOKUP("Total",FUT_6_Tot_Tot,Age25_29, FALSE)-HLOOKUP("Not applicable",FUT_6_Tot_Tot,Age25_29, FALSE)),":")</f>
        <v>0</v>
      </c>
      <c r="M45" s="53">
        <f>IFERROR(HLOOKUP($B45,FUT_6_Tot_Men,Age25_29, FALSE)/(HLOOKUP("Total",FUT_6_Tot_Men,Age25_29, FALSE)-HLOOKUP("Not applicable",FUT_6_Tot_Men,Age25_29, FALSE)),":")</f>
        <v>0</v>
      </c>
      <c r="N45" s="54">
        <f>IFERROR(HLOOKUP($B45,FUT_6_Tot_Women,Age25_29, FALSE)/(HLOOKUP("Total",FUT_6_Tot_Women,Age25_29, FALSE)-HLOOKUP("Not applicable",FUT_6_Tot_Women,Age25_29, FALSE)),":")</f>
        <v>0</v>
      </c>
    </row>
    <row r="46" spans="1:14" x14ac:dyDescent="0.35">
      <c r="A46" s="99" t="s">
        <v>194</v>
      </c>
      <c r="B46" s="104"/>
      <c r="C46" s="101">
        <f t="shared" ref="C46:E46" si="9">IF(COUNT(C47:C48)&gt;0,SUM(C47:C48),":")</f>
        <v>0</v>
      </c>
      <c r="D46" s="102">
        <f t="shared" si="9"/>
        <v>0</v>
      </c>
      <c r="E46" s="103">
        <f t="shared" si="9"/>
        <v>0</v>
      </c>
      <c r="F46" s="101">
        <f t="shared" ref="F46:K46" si="10">IF(COUNT(F47:F48)&gt;0,SUM(F47:F48),":")</f>
        <v>0</v>
      </c>
      <c r="G46" s="102">
        <f t="shared" si="10"/>
        <v>0</v>
      </c>
      <c r="H46" s="103">
        <f t="shared" si="10"/>
        <v>0</v>
      </c>
      <c r="I46" s="101">
        <f t="shared" si="10"/>
        <v>0</v>
      </c>
      <c r="J46" s="102">
        <f t="shared" si="10"/>
        <v>0</v>
      </c>
      <c r="K46" s="103">
        <f t="shared" si="10"/>
        <v>0</v>
      </c>
      <c r="L46" s="101">
        <f t="shared" ref="L46:N46" si="11">IF(COUNT(L47:L48)&gt;0,SUM(L47:L48),":")</f>
        <v>0</v>
      </c>
      <c r="M46" s="102">
        <f t="shared" si="11"/>
        <v>0</v>
      </c>
      <c r="N46" s="103">
        <f t="shared" si="11"/>
        <v>0</v>
      </c>
    </row>
    <row r="47" spans="1:14" outlineLevel="1" x14ac:dyDescent="0.35">
      <c r="A47" s="50"/>
      <c r="B47" s="60" t="s">
        <v>20</v>
      </c>
      <c r="C47" s="52">
        <f>IFERROR(HLOOKUP($B47,FUT_6_Tot_Tot,Age15_29, FALSE)/(HLOOKUP("Total",FUT_6_Tot_Tot,Age15_29, FALSE)-HLOOKUP("Not applicable",FUT_6_Tot_Tot,Age15_29, FALSE)),":")</f>
        <v>0</v>
      </c>
      <c r="D47" s="53">
        <f>IFERROR(HLOOKUP($B47,FUT_6_Tot_Men,Age15_29, FALSE)/(HLOOKUP("Total",FUT_6_Tot_Men,Age15_29, FALSE)-HLOOKUP("Not applicable",FUT_6_Tot_Men,Age15_29, FALSE)),":")</f>
        <v>0</v>
      </c>
      <c r="E47" s="54">
        <f>IFERROR(HLOOKUP($B47,FUT_6_Tot_Women,Age15_29, FALSE)/(HLOOKUP("Total",FUT_6_Tot_Women,Age15_29, FALSE)-HLOOKUP("Not applicable",FUT_6_Tot_Women,Age15_29, FALSE)),":")</f>
        <v>0</v>
      </c>
      <c r="F47" s="52">
        <f>IFERROR(HLOOKUP($B47,FUT_6_Tot_Tot,Age15_19, FALSE)/(HLOOKUP("Total",FUT_6_Tot_Tot,Age15_19, FALSE)-HLOOKUP("Not applicable",FUT_6_Tot_Tot,Age15_19, FALSE)),":")</f>
        <v>0</v>
      </c>
      <c r="G47" s="53">
        <f>IFERROR(HLOOKUP($B47,FUT_6_Tot_Men,Age15_19, FALSE)/(HLOOKUP("Total",FUT_6_Tot_Men,Age15_19, FALSE)-HLOOKUP("Not applicable",FUT_6_Tot_Men,Age15_19, FALSE)),":")</f>
        <v>0</v>
      </c>
      <c r="H47" s="54">
        <f>IFERROR(HLOOKUP($B47,FUT_6_Tot_Women,Age15_19, FALSE)/(HLOOKUP("Total",FUT_6_Tot_Women,Age15_19, FALSE)-HLOOKUP("Not applicable",FUT_6_Tot_Women,Age15_19, FALSE)),":")</f>
        <v>0</v>
      </c>
      <c r="I47" s="52">
        <f>IFERROR(HLOOKUP($B47,FUT_6_Tot_Tot,Age20_24, FALSE)/(HLOOKUP("Total",FUT_6_Tot_Tot,Age20_24, FALSE)-HLOOKUP("Not applicable",FUT_6_Tot_Tot,Age20_24, FALSE)),":")</f>
        <v>0</v>
      </c>
      <c r="J47" s="53">
        <f>IFERROR(HLOOKUP($B47,FUT_6_Tot_Men,Age20_24, FALSE)/(HLOOKUP("Total",FUT_6_Tot_Men,Age20_24, FALSE)-HLOOKUP("Not applicable",FUT_6_Tot_Men,Age20_24, FALSE)),":")</f>
        <v>0</v>
      </c>
      <c r="K47" s="54">
        <f>IFERROR(HLOOKUP($B47,FUT_6_Tot_Women,Age20_24, FALSE)/(HLOOKUP("Total",FUT_6_Tot_Women,Age20_24, FALSE)-HLOOKUP("Not applicable",FUT_6_Tot_Women,Age20_24, FALSE)),":")</f>
        <v>0</v>
      </c>
      <c r="L47" s="52">
        <f>IFERROR(HLOOKUP($B47,FUT_6_Tot_Tot,Age25_29, FALSE)/(HLOOKUP("Total",FUT_6_Tot_Tot,Age25_29, FALSE)-HLOOKUP("Not applicable",FUT_6_Tot_Tot,Age25_29, FALSE)),":")</f>
        <v>0</v>
      </c>
      <c r="M47" s="53">
        <f>IFERROR(HLOOKUP($B47,FUT_6_Tot_Men,Age25_29, FALSE)/(HLOOKUP("Total",FUT_6_Tot_Men,Age25_29, FALSE)-HLOOKUP("Not applicable",FUT_6_Tot_Men,Age25_29, FALSE)),":")</f>
        <v>0</v>
      </c>
      <c r="N47" s="54">
        <f>IFERROR(HLOOKUP($B47,FUT_6_Tot_Women,Age25_29, FALSE)/(HLOOKUP("Total",FUT_6_Tot_Women,Age25_29, FALSE)-HLOOKUP("Not applicable",FUT_6_Tot_Women,Age25_29, FALSE)),":")</f>
        <v>0</v>
      </c>
    </row>
    <row r="48" spans="1:14" outlineLevel="1" x14ac:dyDescent="0.35">
      <c r="A48" s="50"/>
      <c r="B48" s="60" t="s">
        <v>100</v>
      </c>
      <c r="C48" s="52">
        <f>IFERROR(HLOOKUP($B48,FUT_6_Tot_Tot,Age15_29, FALSE)/(HLOOKUP("Total",FUT_6_Tot_Tot,Age15_29, FALSE)-HLOOKUP("Not applicable",FUT_6_Tot_Tot,Age15_29, FALSE)),":")</f>
        <v>0</v>
      </c>
      <c r="D48" s="53">
        <f>IFERROR(HLOOKUP($B48,FUT_6_Tot_Men,Age15_29, FALSE)/(HLOOKUP("Total",FUT_6_Tot_Men,Age15_29, FALSE)-HLOOKUP("Not applicable",FUT_6_Tot_Men,Age15_29, FALSE)),":")</f>
        <v>0</v>
      </c>
      <c r="E48" s="54">
        <f>IFERROR(HLOOKUP($B48,FUT_6_Tot_Women,Age15_29, FALSE)/(HLOOKUP("Total",FUT_6_Tot_Women,Age15_29, FALSE)-HLOOKUP("Not applicable",FUT_6_Tot_Women,Age15_29, FALSE)),":")</f>
        <v>0</v>
      </c>
      <c r="F48" s="52">
        <f>IFERROR(HLOOKUP($B48,FUT_6_Tot_Tot,Age15_19, FALSE)/(HLOOKUP("Total",FUT_6_Tot_Tot,Age15_19, FALSE)-HLOOKUP("Not applicable",FUT_6_Tot_Tot,Age15_19, FALSE)),":")</f>
        <v>0</v>
      </c>
      <c r="G48" s="53">
        <f>IFERROR(HLOOKUP($B48,FUT_6_Tot_Men,Age15_19, FALSE)/(HLOOKUP("Total",FUT_6_Tot_Men,Age15_19, FALSE)-HLOOKUP("Not applicable",FUT_6_Tot_Men,Age15_19, FALSE)),":")</f>
        <v>0</v>
      </c>
      <c r="H48" s="54">
        <f>IFERROR(HLOOKUP($B48,FUT_6_Tot_Women,Age15_19, FALSE)/(HLOOKUP("Total",FUT_6_Tot_Women,Age15_19, FALSE)-HLOOKUP("Not applicable",FUT_6_Tot_Women,Age15_19, FALSE)),":")</f>
        <v>0</v>
      </c>
      <c r="I48" s="52">
        <f>IFERROR(HLOOKUP($B48,FUT_6_Tot_Tot,Age20_24, FALSE)/(HLOOKUP("Total",FUT_6_Tot_Tot,Age20_24, FALSE)-HLOOKUP("Not applicable",FUT_6_Tot_Tot,Age20_24, FALSE)),":")</f>
        <v>0</v>
      </c>
      <c r="J48" s="53">
        <f>IFERROR(HLOOKUP($B48,FUT_6_Tot_Men,Age20_24, FALSE)/(HLOOKUP("Total",FUT_6_Tot_Men,Age20_24, FALSE)-HLOOKUP("Not applicable",FUT_6_Tot_Men,Age20_24, FALSE)),":")</f>
        <v>0</v>
      </c>
      <c r="K48" s="54">
        <f>IFERROR(HLOOKUP($B48,FUT_6_Tot_Women,Age20_24, FALSE)/(HLOOKUP("Total",FUT_6_Tot_Women,Age20_24, FALSE)-HLOOKUP("Not applicable",FUT_6_Tot_Women,Age20_24, FALSE)),":")</f>
        <v>0</v>
      </c>
      <c r="L48" s="52">
        <f>IFERROR(HLOOKUP($B48,FUT_6_Tot_Tot,Age25_29, FALSE)/(HLOOKUP("Total",FUT_6_Tot_Tot,Age25_29, FALSE)-HLOOKUP("Not applicable",FUT_6_Tot_Tot,Age25_29, FALSE)),":")</f>
        <v>0</v>
      </c>
      <c r="M48" s="53">
        <f>IFERROR(HLOOKUP($B48,FUT_6_Tot_Men,Age25_29, FALSE)/(HLOOKUP("Total",FUT_6_Tot_Men,Age25_29, FALSE)-HLOOKUP("Not applicable",FUT_6_Tot_Men,Age25_29, FALSE)),":")</f>
        <v>0</v>
      </c>
      <c r="N48" s="54">
        <f>IFERROR(HLOOKUP($B48,FUT_6_Tot_Women,Age25_29, FALSE)/(HLOOKUP("Total",FUT_6_Tot_Women,Age25_29, FALSE)-HLOOKUP("Not applicable",FUT_6_Tot_Women,Age25_29, FALSE)),":")</f>
        <v>0</v>
      </c>
    </row>
    <row r="49" spans="1:14" ht="15" thickBot="1" x14ac:dyDescent="0.4">
      <c r="A49" s="105" t="s">
        <v>21</v>
      </c>
      <c r="B49" s="106"/>
      <c r="C49" s="107">
        <f>IFERROR(HLOOKUP($A49,FUT_6_Tot_Tot,Age15_29, FALSE)/(HLOOKUP("Total",FUT_6_Tot_Tot,Age15_29, FALSE)-HLOOKUP("Not applicable",FUT_6_Tot_Tot,Age15_29, FALSE)),":")</f>
        <v>1</v>
      </c>
      <c r="D49" s="108">
        <f>IFERROR(HLOOKUP($A49,FUT_6_Tot_Men,Age15_29, FALSE)/(HLOOKUP("Total",FUT_6_Tot_Men,Age15_29, FALSE)-HLOOKUP("Not applicable",FUT_6_Tot_Men,Age15_29, FALSE)),":")</f>
        <v>1</v>
      </c>
      <c r="E49" s="109">
        <f>IFERROR(HLOOKUP($A49,FUT_6_Tot_Women,Age15_29, FALSE)/(HLOOKUP("Total",FUT_6_Tot_Women,Age15_29, FALSE)-HLOOKUP("Not applicable",FUT_6_Tot_Women,Age15_29, FALSE)),":")</f>
        <v>1</v>
      </c>
      <c r="F49" s="107">
        <f>IFERROR(HLOOKUP($A49,FUT_6_Tot_Tot,Age15_19, FALSE)/(HLOOKUP("Total",FUT_6_Tot_Tot,Age15_19, FALSE)-HLOOKUP("Not applicable",FUT_6_Tot_Tot,Age15_19, FALSE)),":")</f>
        <v>1</v>
      </c>
      <c r="G49" s="108">
        <f>IFERROR(HLOOKUP($A49,FUT_6_Tot_Men,Age15_19, FALSE)/(HLOOKUP("Total",FUT_6_Tot_Men,Age15_19, FALSE)-HLOOKUP("Not applicable",FUT_6_Tot_Men,Age15_19, FALSE)),":")</f>
        <v>1</v>
      </c>
      <c r="H49" s="109">
        <f>IFERROR(HLOOKUP($A49,FUT_6_Tot_Women,Age15_19, FALSE)/(HLOOKUP("Total",FUT_6_Tot_Women,Age15_19, FALSE)-HLOOKUP("Not applicable",FUT_6_Tot_Women,Age15_19, FALSE)),":")</f>
        <v>1</v>
      </c>
      <c r="I49" s="107">
        <f>IFERROR(HLOOKUP($A49,FUT_6_Tot_Tot,Age20_24, FALSE)/(HLOOKUP("Total",FUT_6_Tot_Tot,Age20_24, FALSE)-HLOOKUP("Not applicable",FUT_6_Tot_Tot,Age20_24, FALSE)),":")</f>
        <v>1</v>
      </c>
      <c r="J49" s="108">
        <f>IFERROR(HLOOKUP($A49,FUT_6_Tot_Men,Age20_24, FALSE)/(HLOOKUP("Total",FUT_6_Tot_Men,Age20_24, FALSE)-HLOOKUP("Not applicable",FUT_6_Tot_Men,Age20_24, FALSE)),":")</f>
        <v>1</v>
      </c>
      <c r="K49" s="109">
        <f>IFERROR(HLOOKUP($A49,FUT_6_Tot_Women,Age20_24, FALSE)/(HLOOKUP("Total",FUT_6_Tot_Women,Age20_24, FALSE)-HLOOKUP("Not applicable",FUT_6_Tot_Women,Age20_24, FALSE)),":")</f>
        <v>1</v>
      </c>
      <c r="L49" s="107">
        <f>IFERROR(HLOOKUP($A49,FUT_6_Tot_Tot,Age25_29, FALSE)/(HLOOKUP("Total",FUT_6_Tot_Tot,Age25_29, FALSE)-HLOOKUP("Not applicable",FUT_6_Tot_Tot,Age25_29, FALSE)),":")</f>
        <v>1</v>
      </c>
      <c r="M49" s="108">
        <f>IFERROR(HLOOKUP($A49,FUT_6_Tot_Men,Age25_29, FALSE)/(HLOOKUP("Total",FUT_6_Tot_Men,Age25_29, FALSE)-HLOOKUP("Not applicable",FUT_6_Tot_Men,Age25_29, FALSE)),":")</f>
        <v>1</v>
      </c>
      <c r="N49" s="109">
        <f>IFERROR(HLOOKUP($A49,FUT_6_Tot_Women,Age25_29, FALSE)/(HLOOKUP("Total",FUT_6_Tot_Women,Age25_29, FALSE)-HLOOKUP("Not applicable",FUT_6_Tot_Women,Age25_29, FALSE)),":")</f>
        <v>1</v>
      </c>
    </row>
    <row r="50" spans="1:14" ht="15.5" thickTop="1" thickBot="1" x14ac:dyDescent="0.4"/>
    <row r="51" spans="1:14" ht="15.75" customHeight="1" thickTop="1" x14ac:dyDescent="0.35">
      <c r="A51" s="361" t="s">
        <v>196</v>
      </c>
      <c r="B51" s="369"/>
      <c r="C51" s="365" t="s">
        <v>240</v>
      </c>
      <c r="D51" s="366"/>
      <c r="E51" s="367"/>
      <c r="F51" s="365" t="s">
        <v>11</v>
      </c>
      <c r="G51" s="366"/>
      <c r="H51" s="367"/>
      <c r="I51" s="368" t="s">
        <v>13</v>
      </c>
      <c r="J51" s="366"/>
      <c r="K51" s="367"/>
      <c r="L51" s="365" t="s">
        <v>239</v>
      </c>
      <c r="M51" s="366"/>
      <c r="N51" s="373"/>
    </row>
    <row r="52" spans="1:14" x14ac:dyDescent="0.35">
      <c r="A52" s="363"/>
      <c r="B52" s="370"/>
      <c r="C52" s="49" t="s">
        <v>3</v>
      </c>
      <c r="D52" s="47" t="s">
        <v>4</v>
      </c>
      <c r="E52" s="48" t="s">
        <v>5</v>
      </c>
      <c r="F52" s="49" t="s">
        <v>3</v>
      </c>
      <c r="G52" s="47" t="s">
        <v>4</v>
      </c>
      <c r="H52" s="48" t="s">
        <v>5</v>
      </c>
      <c r="I52" s="46" t="s">
        <v>3</v>
      </c>
      <c r="J52" s="47" t="s">
        <v>4</v>
      </c>
      <c r="K52" s="48" t="s">
        <v>5</v>
      </c>
      <c r="L52" s="49" t="s">
        <v>3</v>
      </c>
      <c r="M52" s="47" t="s">
        <v>4</v>
      </c>
      <c r="N52" s="204" t="s">
        <v>5</v>
      </c>
    </row>
    <row r="53" spans="1:14" x14ac:dyDescent="0.35">
      <c r="A53" s="99" t="s">
        <v>193</v>
      </c>
      <c r="B53" s="100"/>
      <c r="C53" s="101">
        <f t="shared" ref="C53:E53" si="12">IF(COUNT(C54:C57)&gt;0,SUM(C54:C57),":")</f>
        <v>0</v>
      </c>
      <c r="D53" s="102">
        <f t="shared" si="12"/>
        <v>0</v>
      </c>
      <c r="E53" s="103">
        <f t="shared" si="12"/>
        <v>0</v>
      </c>
      <c r="F53" s="101">
        <f t="shared" ref="F53:K53" si="13">IF(COUNT(F54:F57)&gt;0,SUM(F54:F57),":")</f>
        <v>0</v>
      </c>
      <c r="G53" s="102">
        <f t="shared" si="13"/>
        <v>0</v>
      </c>
      <c r="H53" s="103">
        <f t="shared" si="13"/>
        <v>0</v>
      </c>
      <c r="I53" s="101">
        <f t="shared" si="13"/>
        <v>0</v>
      </c>
      <c r="J53" s="102">
        <f t="shared" si="13"/>
        <v>0</v>
      </c>
      <c r="K53" s="103">
        <f t="shared" si="13"/>
        <v>0</v>
      </c>
      <c r="L53" s="101">
        <f t="shared" ref="L53:N53" si="14">IF(COUNT(L54:L57)&gt;0,SUM(L54:L57),":")</f>
        <v>0</v>
      </c>
      <c r="M53" s="102">
        <f t="shared" si="14"/>
        <v>0</v>
      </c>
      <c r="N53" s="103">
        <f t="shared" si="14"/>
        <v>0</v>
      </c>
    </row>
    <row r="54" spans="1:14" outlineLevel="1" x14ac:dyDescent="0.35">
      <c r="A54" s="50"/>
      <c r="B54" s="60" t="s">
        <v>15</v>
      </c>
      <c r="C54" s="52">
        <f>IFERROR(HLOOKUP($B54,FUT_12_Tot_Tot,Age15_29, FALSE)/(HLOOKUP("Total",FUT_12_Tot_Tot,Age15_29, FALSE)-HLOOKUP("Not applicable",FUT_12_Tot_Tot,Age15_29, FALSE)),":")</f>
        <v>0</v>
      </c>
      <c r="D54" s="53">
        <f>IFERROR(HLOOKUP($B54,FUT_12_Tot_Men,Age15_29, FALSE)/(HLOOKUP("Total",FUT_12_Tot_Men,Age15_29, FALSE)-HLOOKUP("Not applicable",FUT_12_Tot_Men,Age15_29, FALSE)),":")</f>
        <v>0</v>
      </c>
      <c r="E54" s="54">
        <f>IFERROR(HLOOKUP($B54,FUT_12_Tot_Women,Age15_29, FALSE)/(HLOOKUP("Total",FUT_12_Tot_Women,Age15_29, FALSE)-HLOOKUP("Not applicable",FUT_12_Tot_Women,Age15_29, FALSE)),":")</f>
        <v>0</v>
      </c>
      <c r="F54" s="52">
        <f>IFERROR(HLOOKUP($B54,FUT_12_Tot_Tot,Age15_19, FALSE)/(HLOOKUP("Total",FUT_12_Tot_Tot,Age15_19, FALSE)-HLOOKUP("Not applicable",FUT_12_Tot_Tot,Age15_19, FALSE)),":")</f>
        <v>0</v>
      </c>
      <c r="G54" s="53">
        <f>IFERROR(HLOOKUP($B54,FUT_12_Tot_Men,Age15_19, FALSE)/(HLOOKUP("Total",FUT_12_Tot_Men,Age15_19, FALSE)-HLOOKUP("Not applicable",FUT_12_Tot_Men,Age15_19, FALSE)),":")</f>
        <v>0</v>
      </c>
      <c r="H54" s="54">
        <f>IFERROR(HLOOKUP($B54,FUT_12_Tot_Women,Age15_19, FALSE)/(HLOOKUP("Total",FUT_12_Tot_Women,Age15_19, FALSE)-HLOOKUP("Not applicable",FUT_12_Tot_Women,Age15_19, FALSE)),":")</f>
        <v>0</v>
      </c>
      <c r="I54" s="52">
        <f>IFERROR(HLOOKUP($B54,FUT_12_Tot_Tot,Age20_24, FALSE)/(HLOOKUP("Total",FUT_12_Tot_Tot,Age20_24, FALSE)-HLOOKUP("Not applicable",FUT_12_Tot_Tot,Age20_24, FALSE)),":")</f>
        <v>0</v>
      </c>
      <c r="J54" s="53">
        <f>IFERROR(HLOOKUP($B54,FUT_12_Tot_Men,Age20_24, FALSE)/(HLOOKUP("Total",FUT_12_Tot_Men,Age20_24, FALSE)-HLOOKUP("Not applicable",FUT_12_Tot_Men,Age20_24, FALSE)),":")</f>
        <v>0</v>
      </c>
      <c r="K54" s="54">
        <f>IFERROR(HLOOKUP($B54,FUT_12_Tot_Women,Age20_24, FALSE)/(HLOOKUP("Total",FUT_12_Tot_Women,Age20_24, FALSE)-HLOOKUP("Not applicable",FUT_12_Tot_Women,Age20_24, FALSE)),":")</f>
        <v>0</v>
      </c>
      <c r="L54" s="52">
        <f>IFERROR(HLOOKUP($B54,FUT_12_Tot_Tot,Age25_29, FALSE)/(HLOOKUP("Total",FUT_12_Tot_Tot,Age25_29, FALSE)-HLOOKUP("Not applicable",FUT_12_Tot_Tot,Age25_29, FALSE)),":")</f>
        <v>0</v>
      </c>
      <c r="M54" s="53">
        <f>IFERROR(HLOOKUP($B54,FUT_12_Tot_Men,Age25_29, FALSE)/(HLOOKUP("Total",FUT_12_Tot_Men,Age25_29, FALSE)-HLOOKUP("Not applicable",FUT_12_Tot_Men,Age25_29, FALSE)),":")</f>
        <v>0</v>
      </c>
      <c r="N54" s="54">
        <f>IFERROR(HLOOKUP($B54,FUT_12_Tot_Women,Age25_29, FALSE)/(HLOOKUP("Total",FUT_12_Tot_Women,Age25_29, FALSE)-HLOOKUP("Not applicable",FUT_12_Tot_Women,Age25_29, FALSE)),":")</f>
        <v>0</v>
      </c>
    </row>
    <row r="55" spans="1:14" outlineLevel="1" x14ac:dyDescent="0.35">
      <c r="A55" s="50"/>
      <c r="B55" s="60" t="s">
        <v>16</v>
      </c>
      <c r="C55" s="52">
        <f>IFERROR(HLOOKUP($B55,FUT_12_Tot_Tot,Age15_29, FALSE)/(HLOOKUP("Total",FUT_12_Tot_Tot,Age15_29, FALSE)-HLOOKUP("Not applicable",FUT_12_Tot_Tot,Age15_29, FALSE)),":")</f>
        <v>0</v>
      </c>
      <c r="D55" s="53">
        <f>IFERROR(HLOOKUP($B55,FUT_12_Tot_Men,Age15_29, FALSE)/(HLOOKUP("Total",FUT_12_Tot_Men,Age15_29, FALSE)-HLOOKUP("Not applicable",FUT_12_Tot_Men,Age15_29, FALSE)),":")</f>
        <v>0</v>
      </c>
      <c r="E55" s="54">
        <f>IFERROR(HLOOKUP($B55,FUT_12_Tot_Women,Age15_29, FALSE)/(HLOOKUP("Total",FUT_12_Tot_Women,Age15_29, FALSE)-HLOOKUP("Not applicable",FUT_12_Tot_Women,Age15_29, FALSE)),":")</f>
        <v>0</v>
      </c>
      <c r="F55" s="52">
        <f>IFERROR(HLOOKUP($B55,FUT_12_Tot_Tot,Age15_19, FALSE)/(HLOOKUP("Total",FUT_12_Tot_Tot,Age15_19, FALSE)-HLOOKUP("Not applicable",FUT_12_Tot_Tot,Age15_19, FALSE)),":")</f>
        <v>0</v>
      </c>
      <c r="G55" s="53">
        <f>IFERROR(HLOOKUP($B55,FUT_12_Tot_Men,Age15_19, FALSE)/(HLOOKUP("Total",FUT_12_Tot_Men,Age15_19, FALSE)-HLOOKUP("Not applicable",FUT_12_Tot_Men,Age15_19, FALSE)),":")</f>
        <v>0</v>
      </c>
      <c r="H55" s="54">
        <f>IFERROR(HLOOKUP($B55,FUT_12_Tot_Women,Age15_19, FALSE)/(HLOOKUP("Total",FUT_12_Tot_Women,Age15_19, FALSE)-HLOOKUP("Not applicable",FUT_12_Tot_Women,Age15_19, FALSE)),":")</f>
        <v>0</v>
      </c>
      <c r="I55" s="52">
        <f>IFERROR(HLOOKUP($B55,FUT_12_Tot_Tot,Age20_24, FALSE)/(HLOOKUP("Total",FUT_12_Tot_Tot,Age20_24, FALSE)-HLOOKUP("Not applicable",FUT_12_Tot_Tot,Age20_24, FALSE)),":")</f>
        <v>0</v>
      </c>
      <c r="J55" s="53">
        <f>IFERROR(HLOOKUP($B55,FUT_12_Tot_Men,Age20_24, FALSE)/(HLOOKUP("Total",FUT_12_Tot_Men,Age20_24, FALSE)-HLOOKUP("Not applicable",FUT_12_Tot_Men,Age20_24, FALSE)),":")</f>
        <v>0</v>
      </c>
      <c r="K55" s="54">
        <f>IFERROR(HLOOKUP($B55,FUT_12_Tot_Women,Age20_24, FALSE)/(HLOOKUP("Total",FUT_12_Tot_Women,Age20_24, FALSE)-HLOOKUP("Not applicable",FUT_12_Tot_Women,Age20_24, FALSE)),":")</f>
        <v>0</v>
      </c>
      <c r="L55" s="52">
        <f>IFERROR(HLOOKUP($B55,FUT_12_Tot_Tot,Age25_29, FALSE)/(HLOOKUP("Total",FUT_12_Tot_Tot,Age25_29, FALSE)-HLOOKUP("Not applicable",FUT_12_Tot_Tot,Age25_29, FALSE)),":")</f>
        <v>0</v>
      </c>
      <c r="M55" s="53">
        <f>IFERROR(HLOOKUP($B55,FUT_12_Tot_Men,Age25_29, FALSE)/(HLOOKUP("Total",FUT_12_Tot_Men,Age25_29, FALSE)-HLOOKUP("Not applicable",FUT_12_Tot_Men,Age25_29, FALSE)),":")</f>
        <v>0</v>
      </c>
      <c r="N55" s="54">
        <f>IFERROR(HLOOKUP($B55,FUT_12_Tot_Women,Age25_29, FALSE)/(HLOOKUP("Total",FUT_12_Tot_Women,Age25_29, FALSE)-HLOOKUP("Not applicable",FUT_12_Tot_Women,Age25_29, FALSE)),":")</f>
        <v>0</v>
      </c>
    </row>
    <row r="56" spans="1:14" outlineLevel="1" x14ac:dyDescent="0.35">
      <c r="A56" s="50"/>
      <c r="B56" s="60" t="s">
        <v>17</v>
      </c>
      <c r="C56" s="52">
        <f>IFERROR(HLOOKUP($B56,FUT_12_Tot_Tot,Age15_29, FALSE)/(HLOOKUP("Total",FUT_12_Tot_Tot,Age15_29, FALSE)-HLOOKUP("Not applicable",FUT_12_Tot_Tot,Age15_29, FALSE)),":")</f>
        <v>0</v>
      </c>
      <c r="D56" s="53">
        <f>IFERROR(HLOOKUP($B56,FUT_12_Tot_Men,Age15_29, FALSE)/(HLOOKUP("Total",FUT_12_Tot_Men,Age15_29, FALSE)-HLOOKUP("Not applicable",FUT_12_Tot_Men,Age15_29, FALSE)),":")</f>
        <v>0</v>
      </c>
      <c r="E56" s="54">
        <f>IFERROR(HLOOKUP($B56,FUT_12_Tot_Women,Age15_29, FALSE)/(HLOOKUP("Total",FUT_12_Tot_Women,Age15_29, FALSE)-HLOOKUP("Not applicable",FUT_12_Tot_Women,Age15_29, FALSE)),":")</f>
        <v>0</v>
      </c>
      <c r="F56" s="52">
        <f>IFERROR(HLOOKUP($B56,FUT_12_Tot_Tot,Age15_19, FALSE)/(HLOOKUP("Total",FUT_12_Tot_Tot,Age15_19, FALSE)-HLOOKUP("Not applicable",FUT_12_Tot_Tot,Age15_19, FALSE)),":")</f>
        <v>0</v>
      </c>
      <c r="G56" s="53">
        <f>IFERROR(HLOOKUP($B56,FUT_12_Tot_Men,Age15_19, FALSE)/(HLOOKUP("Total",FUT_12_Tot_Men,Age15_19, FALSE)-HLOOKUP("Not applicable",FUT_12_Tot_Men,Age15_19, FALSE)),":")</f>
        <v>0</v>
      </c>
      <c r="H56" s="54">
        <f>IFERROR(HLOOKUP($B56,FUT_12_Tot_Women,Age15_19, FALSE)/(HLOOKUP("Total",FUT_12_Tot_Women,Age15_19, FALSE)-HLOOKUP("Not applicable",FUT_12_Tot_Women,Age15_19, FALSE)),":")</f>
        <v>0</v>
      </c>
      <c r="I56" s="52">
        <f>IFERROR(HLOOKUP($B56,FUT_12_Tot_Tot,Age20_24, FALSE)/(HLOOKUP("Total",FUT_12_Tot_Tot,Age20_24, FALSE)-HLOOKUP("Not applicable",FUT_12_Tot_Tot,Age20_24, FALSE)),":")</f>
        <v>0</v>
      </c>
      <c r="J56" s="53">
        <f>IFERROR(HLOOKUP($B56,FUT_12_Tot_Men,Age20_24, FALSE)/(HLOOKUP("Total",FUT_12_Tot_Men,Age20_24, FALSE)-HLOOKUP("Not applicable",FUT_12_Tot_Men,Age20_24, FALSE)),":")</f>
        <v>0</v>
      </c>
      <c r="K56" s="54">
        <f>IFERROR(HLOOKUP($B56,FUT_12_Tot_Women,Age20_24, FALSE)/(HLOOKUP("Total",FUT_12_Tot_Women,Age20_24, FALSE)-HLOOKUP("Not applicable",FUT_12_Tot_Women,Age20_24, FALSE)),":")</f>
        <v>0</v>
      </c>
      <c r="L56" s="52">
        <f>IFERROR(HLOOKUP($B56,FUT_12_Tot_Tot,Age25_29, FALSE)/(HLOOKUP("Total",FUT_12_Tot_Tot,Age25_29, FALSE)-HLOOKUP("Not applicable",FUT_12_Tot_Tot,Age25_29, FALSE)),":")</f>
        <v>0</v>
      </c>
      <c r="M56" s="53">
        <f>IFERROR(HLOOKUP($B56,FUT_12_Tot_Men,Age25_29, FALSE)/(HLOOKUP("Total",FUT_12_Tot_Men,Age25_29, FALSE)-HLOOKUP("Not applicable",FUT_12_Tot_Men,Age25_29, FALSE)),":")</f>
        <v>0</v>
      </c>
      <c r="N56" s="54">
        <f>IFERROR(HLOOKUP($B56,FUT_12_Tot_Women,Age25_29, FALSE)/(HLOOKUP("Total",FUT_12_Tot_Women,Age25_29, FALSE)-HLOOKUP("Not applicable",FUT_12_Tot_Women,Age25_29, FALSE)),":")</f>
        <v>0</v>
      </c>
    </row>
    <row r="57" spans="1:14" outlineLevel="1" x14ac:dyDescent="0.35">
      <c r="A57" s="50"/>
      <c r="B57" s="60" t="s">
        <v>18</v>
      </c>
      <c r="C57" s="52">
        <f>IFERROR(HLOOKUP($B57,FUT_12_Tot_Tot,Age15_29, FALSE)/(HLOOKUP("Total",FUT_12_Tot_Tot,Age15_29, FALSE)-HLOOKUP("Not applicable",FUT_12_Tot_Tot,Age15_29, FALSE)),":")</f>
        <v>0</v>
      </c>
      <c r="D57" s="53">
        <f>IFERROR(HLOOKUP($B57,FUT_12_Tot_Men,Age15_29, FALSE)/(HLOOKUP("Total",FUT_12_Tot_Men,Age15_29, FALSE)-HLOOKUP("Not applicable",FUT_12_Tot_Men,Age15_29, FALSE)),":")</f>
        <v>0</v>
      </c>
      <c r="E57" s="54">
        <f>IFERROR(HLOOKUP($B57,FUT_12_Tot_Women,Age15_29, FALSE)/(HLOOKUP("Total",FUT_12_Tot_Women,Age15_29, FALSE)-HLOOKUP("Not applicable",FUT_12_Tot_Women,Age15_29, FALSE)),":")</f>
        <v>0</v>
      </c>
      <c r="F57" s="52">
        <f>IFERROR(HLOOKUP($B57,FUT_12_Tot_Tot,Age15_19, FALSE)/(HLOOKUP("Total",FUT_12_Tot_Tot,Age15_19, FALSE)-HLOOKUP("Not applicable",FUT_12_Tot_Tot,Age15_19, FALSE)),":")</f>
        <v>0</v>
      </c>
      <c r="G57" s="53">
        <f>IFERROR(HLOOKUP($B57,FUT_12_Tot_Men,Age15_19, FALSE)/(HLOOKUP("Total",FUT_12_Tot_Men,Age15_19, FALSE)-HLOOKUP("Not applicable",FUT_12_Tot_Men,Age15_19, FALSE)),":")</f>
        <v>0</v>
      </c>
      <c r="H57" s="54">
        <f>IFERROR(HLOOKUP($B57,FUT_12_Tot_Women,Age15_19, FALSE)/(HLOOKUP("Total",FUT_12_Tot_Women,Age15_19, FALSE)-HLOOKUP("Not applicable",FUT_12_Tot_Women,Age15_19, FALSE)),":")</f>
        <v>0</v>
      </c>
      <c r="I57" s="52">
        <f>IFERROR(HLOOKUP($B57,FUT_12_Tot_Tot,Age20_24, FALSE)/(HLOOKUP("Total",FUT_12_Tot_Tot,Age20_24, FALSE)-HLOOKUP("Not applicable",FUT_12_Tot_Tot,Age20_24, FALSE)),":")</f>
        <v>0</v>
      </c>
      <c r="J57" s="53">
        <f>IFERROR(HLOOKUP($B57,FUT_12_Tot_Men,Age20_24, FALSE)/(HLOOKUP("Total",FUT_12_Tot_Men,Age20_24, FALSE)-HLOOKUP("Not applicable",FUT_12_Tot_Men,Age20_24, FALSE)),":")</f>
        <v>0</v>
      </c>
      <c r="K57" s="54">
        <f>IFERROR(HLOOKUP($B57,FUT_12_Tot_Women,Age20_24, FALSE)/(HLOOKUP("Total",FUT_12_Tot_Women,Age20_24, FALSE)-HLOOKUP("Not applicable",FUT_12_Tot_Women,Age20_24, FALSE)),":")</f>
        <v>0</v>
      </c>
      <c r="L57" s="52">
        <f>IFERROR(HLOOKUP($B57,FUT_12_Tot_Tot,Age25_29, FALSE)/(HLOOKUP("Total",FUT_12_Tot_Tot,Age25_29, FALSE)-HLOOKUP("Not applicable",FUT_12_Tot_Tot,Age25_29, FALSE)),":")</f>
        <v>0</v>
      </c>
      <c r="M57" s="53">
        <f>IFERROR(HLOOKUP($B57,FUT_12_Tot_Men,Age25_29, FALSE)/(HLOOKUP("Total",FUT_12_Tot_Men,Age25_29, FALSE)-HLOOKUP("Not applicable",FUT_12_Tot_Men,Age25_29, FALSE)),":")</f>
        <v>0</v>
      </c>
      <c r="N57" s="54">
        <f>IFERROR(HLOOKUP($B57,FUT_12_Tot_Women,Age25_29, FALSE)/(HLOOKUP("Total",FUT_12_Tot_Women,Age25_29, FALSE)-HLOOKUP("Not applicable",FUT_12_Tot_Women,Age25_29, FALSE)),":")</f>
        <v>0</v>
      </c>
    </row>
    <row r="58" spans="1:14" x14ac:dyDescent="0.35">
      <c r="A58" s="99" t="s">
        <v>194</v>
      </c>
      <c r="B58" s="104"/>
      <c r="C58" s="101">
        <f t="shared" ref="C58:E58" si="15">IF(COUNT(C59:C60)&gt;0,SUM(C59:C60),":")</f>
        <v>0</v>
      </c>
      <c r="D58" s="102">
        <f t="shared" si="15"/>
        <v>0</v>
      </c>
      <c r="E58" s="103">
        <f t="shared" si="15"/>
        <v>0</v>
      </c>
      <c r="F58" s="101">
        <f t="shared" ref="F58:K58" si="16">IF(COUNT(F59:F60)&gt;0,SUM(F59:F60),":")</f>
        <v>0</v>
      </c>
      <c r="G58" s="102">
        <f t="shared" si="16"/>
        <v>0</v>
      </c>
      <c r="H58" s="103">
        <f t="shared" si="16"/>
        <v>0</v>
      </c>
      <c r="I58" s="101">
        <f t="shared" si="16"/>
        <v>0</v>
      </c>
      <c r="J58" s="102">
        <f t="shared" si="16"/>
        <v>0</v>
      </c>
      <c r="K58" s="103">
        <f t="shared" si="16"/>
        <v>0</v>
      </c>
      <c r="L58" s="101">
        <f t="shared" ref="L58:N58" si="17">IF(COUNT(L59:L60)&gt;0,SUM(L59:L60),":")</f>
        <v>0</v>
      </c>
      <c r="M58" s="102">
        <f t="shared" si="17"/>
        <v>0</v>
      </c>
      <c r="N58" s="103">
        <f t="shared" si="17"/>
        <v>0</v>
      </c>
    </row>
    <row r="59" spans="1:14" outlineLevel="1" x14ac:dyDescent="0.35">
      <c r="A59" s="50"/>
      <c r="B59" s="60" t="s">
        <v>20</v>
      </c>
      <c r="C59" s="52">
        <f>IFERROR(HLOOKUP($B59,FUT_12_Tot_Tot,Age15_29, FALSE)/(HLOOKUP("Total",FUT_12_Tot_Tot,Age15_29, FALSE)-HLOOKUP("Not applicable",FUT_12_Tot_Tot,Age15_29, FALSE)),":")</f>
        <v>0</v>
      </c>
      <c r="D59" s="53">
        <f>IFERROR(HLOOKUP($B59,FUT_12_Tot_Men,Age15_29, FALSE)/(HLOOKUP("Total",FUT_12_Tot_Men,Age15_29, FALSE)-HLOOKUP("Not applicable",FUT_12_Tot_Men,Age15_29, FALSE)),":")</f>
        <v>0</v>
      </c>
      <c r="E59" s="54">
        <f>IFERROR(HLOOKUP($B59,FUT_12_Tot_Women,Age15_29, FALSE)/(HLOOKUP("Total",FUT_12_Tot_Women,Age15_29, FALSE)-HLOOKUP("Not applicable",FUT_12_Tot_Women,Age15_29, FALSE)),":")</f>
        <v>0</v>
      </c>
      <c r="F59" s="52">
        <f>IFERROR(HLOOKUP($B59,FUT_12_Tot_Tot,Age15_19, FALSE)/(HLOOKUP("Total",FUT_12_Tot_Tot,Age15_19, FALSE)-HLOOKUP("Not applicable",FUT_12_Tot_Tot,Age15_19, FALSE)),":")</f>
        <v>0</v>
      </c>
      <c r="G59" s="53">
        <f>IFERROR(HLOOKUP($B59,FUT_12_Tot_Men,Age15_19, FALSE)/(HLOOKUP("Total",FUT_12_Tot_Men,Age15_19, FALSE)-HLOOKUP("Not applicable",FUT_12_Tot_Men,Age15_19, FALSE)),":")</f>
        <v>0</v>
      </c>
      <c r="H59" s="54">
        <f>IFERROR(HLOOKUP($B59,FUT_12_Tot_Women,Age15_19, FALSE)/(HLOOKUP("Total",FUT_12_Tot_Women,Age15_19, FALSE)-HLOOKUP("Not applicable",FUT_12_Tot_Women,Age15_19, FALSE)),":")</f>
        <v>0</v>
      </c>
      <c r="I59" s="52">
        <f>IFERROR(HLOOKUP($B59,FUT_12_Tot_Tot,Age20_24, FALSE)/(HLOOKUP("Total",FUT_12_Tot_Tot,Age20_24, FALSE)-HLOOKUP("Not applicable",FUT_12_Tot_Tot,Age20_24, FALSE)),":")</f>
        <v>0</v>
      </c>
      <c r="J59" s="53">
        <f>IFERROR(HLOOKUP($B59,FUT_12_Tot_Men,Age20_24, FALSE)/(HLOOKUP("Total",FUT_12_Tot_Men,Age20_24, FALSE)-HLOOKUP("Not applicable",FUT_12_Tot_Men,Age20_24, FALSE)),":")</f>
        <v>0</v>
      </c>
      <c r="K59" s="54">
        <f>IFERROR(HLOOKUP($B59,FUT_12_Tot_Women,Age20_24, FALSE)/(HLOOKUP("Total",FUT_12_Tot_Women,Age20_24, FALSE)-HLOOKUP("Not applicable",FUT_12_Tot_Women,Age20_24, FALSE)),":")</f>
        <v>0</v>
      </c>
      <c r="L59" s="52">
        <f>IFERROR(HLOOKUP($B59,FUT_12_Tot_Tot,Age25_29, FALSE)/(HLOOKUP("Total",FUT_12_Tot_Tot,Age25_29, FALSE)-HLOOKUP("Not applicable",FUT_12_Tot_Tot,Age25_29, FALSE)),":")</f>
        <v>0</v>
      </c>
      <c r="M59" s="53">
        <f>IFERROR(HLOOKUP($B59,FUT_12_Tot_Men,Age25_29, FALSE)/(HLOOKUP("Total",FUT_12_Tot_Men,Age25_29, FALSE)-HLOOKUP("Not applicable",FUT_12_Tot_Men,Age25_29, FALSE)),":")</f>
        <v>0</v>
      </c>
      <c r="N59" s="54">
        <f>IFERROR(HLOOKUP($B59,FUT_12_Tot_Women,Age25_29, FALSE)/(HLOOKUP("Total",FUT_12_Tot_Women,Age25_29, FALSE)-HLOOKUP("Not applicable",FUT_12_Tot_Women,Age25_29, FALSE)),":")</f>
        <v>0</v>
      </c>
    </row>
    <row r="60" spans="1:14" outlineLevel="1" x14ac:dyDescent="0.35">
      <c r="A60" s="50"/>
      <c r="B60" s="60" t="s">
        <v>100</v>
      </c>
      <c r="C60" s="52">
        <f>IFERROR(HLOOKUP($B60,FUT_12_Tot_Tot,Age15_29, FALSE)/(HLOOKUP("Total",FUT_12_Tot_Tot,Age15_29, FALSE)-HLOOKUP("Not applicable",FUT_12_Tot_Tot,Age15_29, FALSE)),":")</f>
        <v>0</v>
      </c>
      <c r="D60" s="53">
        <f>IFERROR(HLOOKUP($B60,FUT_12_Tot_Men,Age15_29, FALSE)/(HLOOKUP("Total",FUT_12_Tot_Men,Age15_29, FALSE)-HLOOKUP("Not applicable",FUT_12_Tot_Men,Age15_29, FALSE)),":")</f>
        <v>0</v>
      </c>
      <c r="E60" s="54">
        <f>IFERROR(HLOOKUP($B60,FUT_12_Tot_Women,Age15_29, FALSE)/(HLOOKUP("Total",FUT_12_Tot_Women,Age15_29, FALSE)-HLOOKUP("Not applicable",FUT_12_Tot_Women,Age15_29, FALSE)),":")</f>
        <v>0</v>
      </c>
      <c r="F60" s="52">
        <f>IFERROR(HLOOKUP($B60,FUT_12_Tot_Tot,Age15_19, FALSE)/(HLOOKUP("Total",FUT_12_Tot_Tot,Age15_19, FALSE)-HLOOKUP("Not applicable",FUT_12_Tot_Tot,Age15_19, FALSE)),":")</f>
        <v>0</v>
      </c>
      <c r="G60" s="53">
        <f>IFERROR(HLOOKUP($B60,FUT_12_Tot_Men,Age15_19, FALSE)/(HLOOKUP("Total",FUT_12_Tot_Men,Age15_19, FALSE)-HLOOKUP("Not applicable",FUT_12_Tot_Men,Age15_19, FALSE)),":")</f>
        <v>0</v>
      </c>
      <c r="H60" s="54">
        <f>IFERROR(HLOOKUP($B60,FUT_12_Tot_Women,Age15_19, FALSE)/(HLOOKUP("Total",FUT_12_Tot_Women,Age15_19, FALSE)-HLOOKUP("Not applicable",FUT_12_Tot_Women,Age15_19, FALSE)),":")</f>
        <v>0</v>
      </c>
      <c r="I60" s="52">
        <f>IFERROR(HLOOKUP($B60,FUT_12_Tot_Tot,Age20_24, FALSE)/(HLOOKUP("Total",FUT_12_Tot_Tot,Age20_24, FALSE)-HLOOKUP("Not applicable",FUT_12_Tot_Tot,Age20_24, FALSE)),":")</f>
        <v>0</v>
      </c>
      <c r="J60" s="53">
        <f>IFERROR(HLOOKUP($B60,FUT_12_Tot_Men,Age20_24, FALSE)/(HLOOKUP("Total",FUT_12_Tot_Men,Age20_24, FALSE)-HLOOKUP("Not applicable",FUT_12_Tot_Men,Age20_24, FALSE)),":")</f>
        <v>0</v>
      </c>
      <c r="K60" s="54">
        <f>IFERROR(HLOOKUP($B60,FUT_12_Tot_Women,Age20_24, FALSE)/(HLOOKUP("Total",FUT_12_Tot_Women,Age20_24, FALSE)-HLOOKUP("Not applicable",FUT_12_Tot_Women,Age20_24, FALSE)),":")</f>
        <v>0</v>
      </c>
      <c r="L60" s="52">
        <f>IFERROR(HLOOKUP($B60,FUT_12_Tot_Tot,Age25_29, FALSE)/(HLOOKUP("Total",FUT_12_Tot_Tot,Age25_29, FALSE)-HLOOKUP("Not applicable",FUT_12_Tot_Tot,Age25_29, FALSE)),":")</f>
        <v>0</v>
      </c>
      <c r="M60" s="53">
        <f>IFERROR(HLOOKUP($B60,FUT_12_Tot_Men,Age25_29, FALSE)/(HLOOKUP("Total",FUT_12_Tot_Men,Age25_29, FALSE)-HLOOKUP("Not applicable",FUT_12_Tot_Men,Age25_29, FALSE)),":")</f>
        <v>0</v>
      </c>
      <c r="N60" s="54">
        <f>IFERROR(HLOOKUP($B60,FUT_12_Tot_Women,Age25_29, FALSE)/(HLOOKUP("Total",FUT_12_Tot_Women,Age25_29, FALSE)-HLOOKUP("Not applicable",FUT_12_Tot_Women,Age25_29, FALSE)),":")</f>
        <v>0</v>
      </c>
    </row>
    <row r="61" spans="1:14" ht="15" thickBot="1" x14ac:dyDescent="0.4">
      <c r="A61" s="105" t="s">
        <v>21</v>
      </c>
      <c r="B61" s="106"/>
      <c r="C61" s="107">
        <f>IFERROR(HLOOKUP($A61,FUT_12_Tot_Tot,Age15_29, FALSE)/(HLOOKUP("Total",FUT_12_Tot_Tot,Age15_29, FALSE)-HLOOKUP("Not applicable",FUT_12_Tot_Tot,Age15_29, FALSE)),":")</f>
        <v>1</v>
      </c>
      <c r="D61" s="108">
        <f>IFERROR(HLOOKUP($A61,FUT_12_Tot_Men,Age15_29, FALSE)/(HLOOKUP("Total",FUT_12_Tot_Men,Age15_29, FALSE)-HLOOKUP("Not applicable",FUT_12_Tot_Men,Age15_29, FALSE)),":")</f>
        <v>1</v>
      </c>
      <c r="E61" s="109">
        <f>IFERROR(HLOOKUP($A61,FUT_12_Tot_Women,Age15_29, FALSE)/(HLOOKUP("Total",FUT_12_Tot_Women,Age15_29, FALSE)-HLOOKUP("Not applicable",FUT_12_Tot_Women,Age15_29, FALSE)),":")</f>
        <v>1</v>
      </c>
      <c r="F61" s="107">
        <f>IFERROR(HLOOKUP($A61,FUT_12_Tot_Tot,Age15_19, FALSE)/(HLOOKUP("Total",FUT_12_Tot_Tot,Age15_19, FALSE)-HLOOKUP("Not applicable",FUT_12_Tot_Tot,Age15_19, FALSE)),":")</f>
        <v>1</v>
      </c>
      <c r="G61" s="108">
        <f>IFERROR(HLOOKUP($A61,FUT_12_Tot_Men,Age15_19, FALSE)/(HLOOKUP("Total",FUT_12_Tot_Men,Age15_19, FALSE)-HLOOKUP("Not applicable",FUT_12_Tot_Men,Age15_19, FALSE)),":")</f>
        <v>1</v>
      </c>
      <c r="H61" s="109">
        <f>IFERROR(HLOOKUP($A61,FUT_12_Tot_Women,Age15_19, FALSE)/(HLOOKUP("Total",FUT_12_Tot_Women,Age15_19, FALSE)-HLOOKUP("Not applicable",FUT_12_Tot_Women,Age15_19, FALSE)),":")</f>
        <v>1</v>
      </c>
      <c r="I61" s="107">
        <f>IFERROR(HLOOKUP($A61,FUT_12_Tot_Tot,Age20_24, FALSE)/(HLOOKUP("Total",FUT_12_Tot_Tot,Age20_24, FALSE)-HLOOKUP("Not applicable",FUT_12_Tot_Tot,Age20_24, FALSE)),":")</f>
        <v>1</v>
      </c>
      <c r="J61" s="108">
        <f>IFERROR(HLOOKUP($A61,FUT_12_Tot_Men,Age20_24, FALSE)/(HLOOKUP("Total",FUT_12_Tot_Men,Age20_24, FALSE)-HLOOKUP("Not applicable",FUT_12_Tot_Men,Age20_24, FALSE)),":")</f>
        <v>1</v>
      </c>
      <c r="K61" s="109">
        <f>IFERROR(HLOOKUP($A61,FUT_12_Tot_Women,Age20_24, FALSE)/(HLOOKUP("Total",FUT_12_Tot_Women,Age20_24, FALSE)-HLOOKUP("Not applicable",FUT_12_Tot_Women,Age20_24, FALSE)),":")</f>
        <v>1</v>
      </c>
      <c r="L61" s="107">
        <f>IFERROR(HLOOKUP($A61,FUT_12_Tot_Tot,Age25_29, FALSE)/(HLOOKUP("Total",FUT_12_Tot_Tot,Age25_29, FALSE)-HLOOKUP("Not applicable",FUT_12_Tot_Tot,Age25_29, FALSE)),":")</f>
        <v>1</v>
      </c>
      <c r="M61" s="108">
        <f>IFERROR(HLOOKUP($A61,FUT_12_Tot_Men,Age25_29, FALSE)/(HLOOKUP("Total",FUT_12_Tot_Men,Age25_29, FALSE)-HLOOKUP("Not applicable",FUT_12_Tot_Men,Age25_29, FALSE)),":")</f>
        <v>1</v>
      </c>
      <c r="N61" s="109">
        <f>IFERROR(HLOOKUP($A61,FUT_12_Tot_Women,Age25_29, FALSE)/(HLOOKUP("Total",FUT_12_Tot_Women,Age25_29, FALSE)-HLOOKUP("Not applicable",FUT_12_Tot_Women,Age25_29, FALSE)),":")</f>
        <v>1</v>
      </c>
    </row>
    <row r="62" spans="1:14" ht="15.5" thickTop="1" thickBot="1" x14ac:dyDescent="0.4"/>
    <row r="63" spans="1:14" ht="15.75" customHeight="1" thickTop="1" x14ac:dyDescent="0.35">
      <c r="A63" s="361" t="s">
        <v>197</v>
      </c>
      <c r="B63" s="369"/>
      <c r="C63" s="365" t="s">
        <v>240</v>
      </c>
      <c r="D63" s="366"/>
      <c r="E63" s="367"/>
      <c r="F63" s="365" t="s">
        <v>11</v>
      </c>
      <c r="G63" s="366"/>
      <c r="H63" s="367"/>
      <c r="I63" s="368" t="s">
        <v>13</v>
      </c>
      <c r="J63" s="366"/>
      <c r="K63" s="367"/>
      <c r="L63" s="365" t="s">
        <v>239</v>
      </c>
      <c r="M63" s="366"/>
      <c r="N63" s="373"/>
    </row>
    <row r="64" spans="1:14" x14ac:dyDescent="0.35">
      <c r="A64" s="363"/>
      <c r="B64" s="370"/>
      <c r="C64" s="49" t="s">
        <v>3</v>
      </c>
      <c r="D64" s="47" t="s">
        <v>4</v>
      </c>
      <c r="E64" s="48" t="s">
        <v>5</v>
      </c>
      <c r="F64" s="49" t="s">
        <v>3</v>
      </c>
      <c r="G64" s="47" t="s">
        <v>4</v>
      </c>
      <c r="H64" s="48" t="s">
        <v>5</v>
      </c>
      <c r="I64" s="46" t="s">
        <v>3</v>
      </c>
      <c r="J64" s="47" t="s">
        <v>4</v>
      </c>
      <c r="K64" s="48" t="s">
        <v>5</v>
      </c>
      <c r="L64" s="49" t="s">
        <v>3</v>
      </c>
      <c r="M64" s="47" t="s">
        <v>4</v>
      </c>
      <c r="N64" s="204" t="s">
        <v>5</v>
      </c>
    </row>
    <row r="65" spans="1:14" x14ac:dyDescent="0.35">
      <c r="A65" s="99" t="s">
        <v>193</v>
      </c>
      <c r="B65" s="100"/>
      <c r="C65" s="101">
        <f t="shared" ref="C65:E65" si="18">IF(COUNT(C66:C69)&gt;0,SUM(C66:C69),":")</f>
        <v>0</v>
      </c>
      <c r="D65" s="102">
        <f t="shared" si="18"/>
        <v>0</v>
      </c>
      <c r="E65" s="103">
        <f t="shared" si="18"/>
        <v>0</v>
      </c>
      <c r="F65" s="101">
        <f t="shared" ref="F65:K65" si="19">IF(COUNT(F66:F69)&gt;0,SUM(F66:F69),":")</f>
        <v>0</v>
      </c>
      <c r="G65" s="102">
        <f t="shared" si="19"/>
        <v>0</v>
      </c>
      <c r="H65" s="103">
        <f t="shared" si="19"/>
        <v>0</v>
      </c>
      <c r="I65" s="101">
        <f t="shared" si="19"/>
        <v>0</v>
      </c>
      <c r="J65" s="102">
        <f t="shared" si="19"/>
        <v>0</v>
      </c>
      <c r="K65" s="103">
        <f t="shared" si="19"/>
        <v>0</v>
      </c>
      <c r="L65" s="101">
        <f t="shared" ref="L65:N65" si="20">IF(COUNT(L66:L69)&gt;0,SUM(L66:L69),":")</f>
        <v>0</v>
      </c>
      <c r="M65" s="102">
        <f t="shared" si="20"/>
        <v>0</v>
      </c>
      <c r="N65" s="103">
        <f t="shared" si="20"/>
        <v>0</v>
      </c>
    </row>
    <row r="66" spans="1:14" outlineLevel="1" x14ac:dyDescent="0.35">
      <c r="A66" s="50"/>
      <c r="B66" s="60" t="s">
        <v>15</v>
      </c>
      <c r="C66" s="52">
        <f>IFERROR(HLOOKUP($B66,FUT_18_Tot_Tot,Age15_29, FALSE)/(HLOOKUP("Total",FUT_18_Tot_Tot,Age15_29, FALSE)-HLOOKUP("Not applicable",FUT_18_Tot_Tot,Age15_29, FALSE)),":")</f>
        <v>0</v>
      </c>
      <c r="D66" s="53">
        <f>IFERROR(HLOOKUP($B66,FUT_18_Tot_Men,Age15_29, FALSE)/(HLOOKUP("Total",FUT_18_Tot_Men,Age15_29, FALSE)-HLOOKUP("Not applicable",FUT_18_Tot_Men,Age15_29, FALSE)),":")</f>
        <v>0</v>
      </c>
      <c r="E66" s="54">
        <f>IFERROR(HLOOKUP($B66,FUT_18_Tot_Women,Age15_29, FALSE)/(HLOOKUP("Total",FUT_18_Tot_Women,Age15_29, FALSE)-HLOOKUP("Not applicable",FUT_18_Tot_Women,Age15_29, FALSE)),":")</f>
        <v>0</v>
      </c>
      <c r="F66" s="52">
        <f>IFERROR(HLOOKUP($B66,FUT_18_Tot_Tot,Age15_19, FALSE)/(HLOOKUP("Total",FUT_18_Tot_Tot,Age15_19, FALSE)-HLOOKUP("Not applicable",FUT_18_Tot_Tot,Age15_19, FALSE)),":")</f>
        <v>0</v>
      </c>
      <c r="G66" s="53">
        <f>IFERROR(HLOOKUP($B66,FUT_18_Tot_Men,Age15_19, FALSE)/(HLOOKUP("Total",FUT_18_Tot_Men,Age15_19, FALSE)-HLOOKUP("Not applicable",FUT_18_Tot_Men,Age15_19, FALSE)),":")</f>
        <v>0</v>
      </c>
      <c r="H66" s="54">
        <f>IFERROR(HLOOKUP($B66,FUT_18_Tot_Women,Age15_19, FALSE)/(HLOOKUP("Total",FUT_18_Tot_Women,Age15_19, FALSE)-HLOOKUP("Not applicable",FUT_18_Tot_Women,Age15_19, FALSE)),":")</f>
        <v>0</v>
      </c>
      <c r="I66" s="52">
        <f>IFERROR(HLOOKUP($B66,FUT_18_Tot_Tot,Age20_24, FALSE)/(HLOOKUP("Total",FUT_18_Tot_Tot,Age20_24, FALSE)-HLOOKUP("Not applicable",FUT_18_Tot_Tot,Age20_24, FALSE)),":")</f>
        <v>0</v>
      </c>
      <c r="J66" s="53">
        <f>IFERROR(HLOOKUP($B66,FUT_18_Tot_Men,Age20_24, FALSE)/(HLOOKUP("Total",FUT_18_Tot_Men,Age20_24, FALSE)-HLOOKUP("Not applicable",FUT_18_Tot_Men,Age20_24, FALSE)),":")</f>
        <v>0</v>
      </c>
      <c r="K66" s="54">
        <f>IFERROR(HLOOKUP($B66,FUT_18_Tot_Women,Age20_24, FALSE)/(HLOOKUP("Total",FUT_18_Tot_Women,Age20_24, FALSE)-HLOOKUP("Not applicable",FUT_18_Tot_Women,Age20_24, FALSE)),":")</f>
        <v>0</v>
      </c>
      <c r="L66" s="52">
        <f>IFERROR(HLOOKUP($B66,FUT_18_Tot_Tot,Age25_29, FALSE)/(HLOOKUP("Total",FUT_18_Tot_Tot,Age25_29, FALSE)-HLOOKUP("Not applicable",FUT_18_Tot_Tot,Age25_29, FALSE)),":")</f>
        <v>0</v>
      </c>
      <c r="M66" s="53">
        <f>IFERROR(HLOOKUP($B66,FUT_18_Tot_Men,Age25_29, FALSE)/(HLOOKUP("Total",FUT_18_Tot_Men,Age25_29, FALSE)-HLOOKUP("Not applicable",FUT_18_Tot_Men,Age25_29, FALSE)),":")</f>
        <v>0</v>
      </c>
      <c r="N66" s="54">
        <f>IFERROR(HLOOKUP($B66,FUT_18_Tot_Women,Age25_29, FALSE)/(HLOOKUP("Total",FUT_18_Tot_Women,Age25_29, FALSE)-HLOOKUP("Not applicable",FUT_18_Tot_Women,Age25_29, FALSE)),":")</f>
        <v>0</v>
      </c>
    </row>
    <row r="67" spans="1:14" outlineLevel="1" x14ac:dyDescent="0.35">
      <c r="A67" s="50"/>
      <c r="B67" s="60" t="s">
        <v>16</v>
      </c>
      <c r="C67" s="52">
        <f>IFERROR(HLOOKUP($B67,FUT_18_Tot_Tot,Age15_29, FALSE)/(HLOOKUP("Total",FUT_18_Tot_Tot,Age15_29, FALSE)-HLOOKUP("Not applicable",FUT_18_Tot_Tot,Age15_29, FALSE)),":")</f>
        <v>0</v>
      </c>
      <c r="D67" s="53">
        <f>IFERROR(HLOOKUP($B67,FUT_18_Tot_Men,Age15_29, FALSE)/(HLOOKUP("Total",FUT_18_Tot_Men,Age15_29, FALSE)-HLOOKUP("Not applicable",FUT_18_Tot_Men,Age15_29, FALSE)),":")</f>
        <v>0</v>
      </c>
      <c r="E67" s="54">
        <f>IFERROR(HLOOKUP($B67,FUT_18_Tot_Women,Age15_29, FALSE)/(HLOOKUP("Total",FUT_18_Tot_Women,Age15_29, FALSE)-HLOOKUP("Not applicable",FUT_18_Tot_Women,Age15_29, FALSE)),":")</f>
        <v>0</v>
      </c>
      <c r="F67" s="52">
        <f>IFERROR(HLOOKUP($B67,FUT_18_Tot_Tot,Age15_19, FALSE)/(HLOOKUP("Total",FUT_18_Tot_Tot,Age15_19, FALSE)-HLOOKUP("Not applicable",FUT_18_Tot_Tot,Age15_19, FALSE)),":")</f>
        <v>0</v>
      </c>
      <c r="G67" s="53">
        <f>IFERROR(HLOOKUP($B67,FUT_18_Tot_Men,Age15_19, FALSE)/(HLOOKUP("Total",FUT_18_Tot_Men,Age15_19, FALSE)-HLOOKUP("Not applicable",FUT_18_Tot_Men,Age15_19, FALSE)),":")</f>
        <v>0</v>
      </c>
      <c r="H67" s="54">
        <f>IFERROR(HLOOKUP($B67,FUT_18_Tot_Women,Age15_19, FALSE)/(HLOOKUP("Total",FUT_18_Tot_Women,Age15_19, FALSE)-HLOOKUP("Not applicable",FUT_18_Tot_Women,Age15_19, FALSE)),":")</f>
        <v>0</v>
      </c>
      <c r="I67" s="52">
        <f>IFERROR(HLOOKUP($B67,FUT_18_Tot_Tot,Age20_24, FALSE)/(HLOOKUP("Total",FUT_18_Tot_Tot,Age20_24, FALSE)-HLOOKUP("Not applicable",FUT_18_Tot_Tot,Age20_24, FALSE)),":")</f>
        <v>0</v>
      </c>
      <c r="J67" s="53">
        <f>IFERROR(HLOOKUP($B67,FUT_18_Tot_Men,Age20_24, FALSE)/(HLOOKUP("Total",FUT_18_Tot_Men,Age20_24, FALSE)-HLOOKUP("Not applicable",FUT_18_Tot_Men,Age20_24, FALSE)),":")</f>
        <v>0</v>
      </c>
      <c r="K67" s="54">
        <f>IFERROR(HLOOKUP($B67,FUT_18_Tot_Women,Age20_24, FALSE)/(HLOOKUP("Total",FUT_18_Tot_Women,Age20_24, FALSE)-HLOOKUP("Not applicable",FUT_18_Tot_Women,Age20_24, FALSE)),":")</f>
        <v>0</v>
      </c>
      <c r="L67" s="52">
        <f>IFERROR(HLOOKUP($B67,FUT_18_Tot_Tot,Age25_29, FALSE)/(HLOOKUP("Total",FUT_18_Tot_Tot,Age25_29, FALSE)-HLOOKUP("Not applicable",FUT_18_Tot_Tot,Age25_29, FALSE)),":")</f>
        <v>0</v>
      </c>
      <c r="M67" s="53">
        <f>IFERROR(HLOOKUP($B67,FUT_18_Tot_Men,Age25_29, FALSE)/(HLOOKUP("Total",FUT_18_Tot_Men,Age25_29, FALSE)-HLOOKUP("Not applicable",FUT_18_Tot_Men,Age25_29, FALSE)),":")</f>
        <v>0</v>
      </c>
      <c r="N67" s="54">
        <f>IFERROR(HLOOKUP($B67,FUT_18_Tot_Women,Age25_29, FALSE)/(HLOOKUP("Total",FUT_18_Tot_Women,Age25_29, FALSE)-HLOOKUP("Not applicable",FUT_18_Tot_Women,Age25_29, FALSE)),":")</f>
        <v>0</v>
      </c>
    </row>
    <row r="68" spans="1:14" outlineLevel="1" x14ac:dyDescent="0.35">
      <c r="A68" s="50"/>
      <c r="B68" s="60" t="s">
        <v>17</v>
      </c>
      <c r="C68" s="52">
        <f>IFERROR(HLOOKUP($B68,FUT_18_Tot_Tot,Age15_29, FALSE)/(HLOOKUP("Total",FUT_18_Tot_Tot,Age15_29, FALSE)-HLOOKUP("Not applicable",FUT_18_Tot_Tot,Age15_29, FALSE)),":")</f>
        <v>0</v>
      </c>
      <c r="D68" s="53">
        <f>IFERROR(HLOOKUP($B68,FUT_18_Tot_Men,Age15_29, FALSE)/(HLOOKUP("Total",FUT_18_Tot_Men,Age15_29, FALSE)-HLOOKUP("Not applicable",FUT_18_Tot_Men,Age15_29, FALSE)),":")</f>
        <v>0</v>
      </c>
      <c r="E68" s="54">
        <f>IFERROR(HLOOKUP($B68,FUT_18_Tot_Women,Age15_29, FALSE)/(HLOOKUP("Total",FUT_18_Tot_Women,Age15_29, FALSE)-HLOOKUP("Not applicable",FUT_18_Tot_Women,Age15_29, FALSE)),":")</f>
        <v>0</v>
      </c>
      <c r="F68" s="52">
        <f>IFERROR(HLOOKUP($B68,FUT_18_Tot_Tot,Age15_19, FALSE)/(HLOOKUP("Total",FUT_18_Tot_Tot,Age15_19, FALSE)-HLOOKUP("Not applicable",FUT_18_Tot_Tot,Age15_19, FALSE)),":")</f>
        <v>0</v>
      </c>
      <c r="G68" s="53">
        <f>IFERROR(HLOOKUP($B68,FUT_18_Tot_Men,Age15_19, FALSE)/(HLOOKUP("Total",FUT_18_Tot_Men,Age15_19, FALSE)-HLOOKUP("Not applicable",FUT_18_Tot_Men,Age15_19, FALSE)),":")</f>
        <v>0</v>
      </c>
      <c r="H68" s="54">
        <f>IFERROR(HLOOKUP($B68,FUT_18_Tot_Women,Age15_19, FALSE)/(HLOOKUP("Total",FUT_18_Tot_Women,Age15_19, FALSE)-HLOOKUP("Not applicable",FUT_18_Tot_Women,Age15_19, FALSE)),":")</f>
        <v>0</v>
      </c>
      <c r="I68" s="52">
        <f>IFERROR(HLOOKUP($B68,FUT_18_Tot_Tot,Age20_24, FALSE)/(HLOOKUP("Total",FUT_18_Tot_Tot,Age20_24, FALSE)-HLOOKUP("Not applicable",FUT_18_Tot_Tot,Age20_24, FALSE)),":")</f>
        <v>0</v>
      </c>
      <c r="J68" s="53">
        <f>IFERROR(HLOOKUP($B68,FUT_18_Tot_Men,Age20_24, FALSE)/(HLOOKUP("Total",FUT_18_Tot_Men,Age20_24, FALSE)-HLOOKUP("Not applicable",FUT_18_Tot_Men,Age20_24, FALSE)),":")</f>
        <v>0</v>
      </c>
      <c r="K68" s="54">
        <f>IFERROR(HLOOKUP($B68,FUT_18_Tot_Women,Age20_24, FALSE)/(HLOOKUP("Total",FUT_18_Tot_Women,Age20_24, FALSE)-HLOOKUP("Not applicable",FUT_18_Tot_Women,Age20_24, FALSE)),":")</f>
        <v>0</v>
      </c>
      <c r="L68" s="52">
        <f>IFERROR(HLOOKUP($B68,FUT_18_Tot_Tot,Age25_29, FALSE)/(HLOOKUP("Total",FUT_18_Tot_Tot,Age25_29, FALSE)-HLOOKUP("Not applicable",FUT_18_Tot_Tot,Age25_29, FALSE)),":")</f>
        <v>0</v>
      </c>
      <c r="M68" s="53">
        <f>IFERROR(HLOOKUP($B68,FUT_18_Tot_Men,Age25_29, FALSE)/(HLOOKUP("Total",FUT_18_Tot_Men,Age25_29, FALSE)-HLOOKUP("Not applicable",FUT_18_Tot_Men,Age25_29, FALSE)),":")</f>
        <v>0</v>
      </c>
      <c r="N68" s="54">
        <f>IFERROR(HLOOKUP($B68,FUT_18_Tot_Women,Age25_29, FALSE)/(HLOOKUP("Total",FUT_18_Tot_Women,Age25_29, FALSE)-HLOOKUP("Not applicable",FUT_18_Tot_Women,Age25_29, FALSE)),":")</f>
        <v>0</v>
      </c>
    </row>
    <row r="69" spans="1:14" outlineLevel="1" x14ac:dyDescent="0.35">
      <c r="A69" s="50"/>
      <c r="B69" s="60" t="s">
        <v>18</v>
      </c>
      <c r="C69" s="52">
        <f>IFERROR(HLOOKUP($B69,FUT_18_Tot_Tot,Age15_29, FALSE)/(HLOOKUP("Total",FUT_18_Tot_Tot,Age15_29, FALSE)-HLOOKUP("Not applicable",FUT_18_Tot_Tot,Age15_29, FALSE)),":")</f>
        <v>0</v>
      </c>
      <c r="D69" s="53">
        <f>IFERROR(HLOOKUP($B69,FUT_18_Tot_Men,Age15_29, FALSE)/(HLOOKUP("Total",FUT_18_Tot_Men,Age15_29, FALSE)-HLOOKUP("Not applicable",FUT_18_Tot_Men,Age15_29, FALSE)),":")</f>
        <v>0</v>
      </c>
      <c r="E69" s="54">
        <f>IFERROR(HLOOKUP($B69,FUT_18_Tot_Women,Age15_29, FALSE)/(HLOOKUP("Total",FUT_18_Tot_Women,Age15_29, FALSE)-HLOOKUP("Not applicable",FUT_18_Tot_Women,Age15_29, FALSE)),":")</f>
        <v>0</v>
      </c>
      <c r="F69" s="52">
        <f>IFERROR(HLOOKUP($B69,FUT_18_Tot_Tot,Age15_19, FALSE)/(HLOOKUP("Total",FUT_18_Tot_Tot,Age15_19, FALSE)-HLOOKUP("Not applicable",FUT_18_Tot_Tot,Age15_19, FALSE)),":")</f>
        <v>0</v>
      </c>
      <c r="G69" s="53">
        <f>IFERROR(HLOOKUP($B69,FUT_18_Tot_Men,Age15_19, FALSE)/(HLOOKUP("Total",FUT_18_Tot_Men,Age15_19, FALSE)-HLOOKUP("Not applicable",FUT_18_Tot_Men,Age15_19, FALSE)),":")</f>
        <v>0</v>
      </c>
      <c r="H69" s="54">
        <f>IFERROR(HLOOKUP($B69,FUT_18_Tot_Women,Age15_19, FALSE)/(HLOOKUP("Total",FUT_18_Tot_Women,Age15_19, FALSE)-HLOOKUP("Not applicable",FUT_18_Tot_Women,Age15_19, FALSE)),":")</f>
        <v>0</v>
      </c>
      <c r="I69" s="52">
        <f>IFERROR(HLOOKUP($B69,FUT_18_Tot_Tot,Age20_24, FALSE)/(HLOOKUP("Total",FUT_18_Tot_Tot,Age20_24, FALSE)-HLOOKUP("Not applicable",FUT_18_Tot_Tot,Age20_24, FALSE)),":")</f>
        <v>0</v>
      </c>
      <c r="J69" s="53">
        <f>IFERROR(HLOOKUP($B69,FUT_18_Tot_Men,Age20_24, FALSE)/(HLOOKUP("Total",FUT_18_Tot_Men,Age20_24, FALSE)-HLOOKUP("Not applicable",FUT_18_Tot_Men,Age20_24, FALSE)),":")</f>
        <v>0</v>
      </c>
      <c r="K69" s="54">
        <f>IFERROR(HLOOKUP($B69,FUT_18_Tot_Women,Age20_24, FALSE)/(HLOOKUP("Total",FUT_18_Tot_Women,Age20_24, FALSE)-HLOOKUP("Not applicable",FUT_18_Tot_Women,Age20_24, FALSE)),":")</f>
        <v>0</v>
      </c>
      <c r="L69" s="52">
        <f>IFERROR(HLOOKUP($B69,FUT_18_Tot_Tot,Age25_29, FALSE)/(HLOOKUP("Total",FUT_18_Tot_Tot,Age25_29, FALSE)-HLOOKUP("Not applicable",FUT_18_Tot_Tot,Age25_29, FALSE)),":")</f>
        <v>0</v>
      </c>
      <c r="M69" s="53">
        <f>IFERROR(HLOOKUP($B69,FUT_18_Tot_Men,Age25_29, FALSE)/(HLOOKUP("Total",FUT_18_Tot_Men,Age25_29, FALSE)-HLOOKUP("Not applicable",FUT_18_Tot_Men,Age25_29, FALSE)),":")</f>
        <v>0</v>
      </c>
      <c r="N69" s="54">
        <f>IFERROR(HLOOKUP($B69,FUT_18_Tot_Women,Age25_29, FALSE)/(HLOOKUP("Total",FUT_18_Tot_Women,Age25_29, FALSE)-HLOOKUP("Not applicable",FUT_18_Tot_Women,Age25_29, FALSE)),":")</f>
        <v>0</v>
      </c>
    </row>
    <row r="70" spans="1:14" x14ac:dyDescent="0.35">
      <c r="A70" s="99" t="s">
        <v>194</v>
      </c>
      <c r="B70" s="104"/>
      <c r="C70" s="101">
        <f t="shared" ref="C70:E70" si="21">IF(COUNT(C71:C72)&gt;0,SUM(C71:C72),":")</f>
        <v>0</v>
      </c>
      <c r="D70" s="102">
        <f t="shared" si="21"/>
        <v>0</v>
      </c>
      <c r="E70" s="103">
        <f t="shared" si="21"/>
        <v>0</v>
      </c>
      <c r="F70" s="101">
        <f t="shared" ref="F70:K70" si="22">IF(COUNT(F71:F72)&gt;0,SUM(F71:F72),":")</f>
        <v>0</v>
      </c>
      <c r="G70" s="102">
        <f t="shared" si="22"/>
        <v>0</v>
      </c>
      <c r="H70" s="103">
        <f t="shared" si="22"/>
        <v>0</v>
      </c>
      <c r="I70" s="101">
        <f t="shared" si="22"/>
        <v>0</v>
      </c>
      <c r="J70" s="102">
        <f t="shared" si="22"/>
        <v>0</v>
      </c>
      <c r="K70" s="103">
        <f t="shared" si="22"/>
        <v>0</v>
      </c>
      <c r="L70" s="101">
        <f t="shared" ref="L70:N70" si="23">IF(COUNT(L71:L72)&gt;0,SUM(L71:L72),":")</f>
        <v>0</v>
      </c>
      <c r="M70" s="102">
        <f t="shared" si="23"/>
        <v>0</v>
      </c>
      <c r="N70" s="103">
        <f t="shared" si="23"/>
        <v>0</v>
      </c>
    </row>
    <row r="71" spans="1:14" outlineLevel="1" x14ac:dyDescent="0.35">
      <c r="A71" s="50"/>
      <c r="B71" s="60" t="s">
        <v>20</v>
      </c>
      <c r="C71" s="52">
        <f>IFERROR(HLOOKUP($B71,FUT_18_Tot_Tot,Age15_29, FALSE)/(HLOOKUP("Total",FUT_18_Tot_Tot,Age15_29, FALSE)-HLOOKUP("Not applicable",FUT_18_Tot_Tot,Age15_29, FALSE)),":")</f>
        <v>0</v>
      </c>
      <c r="D71" s="53">
        <f>IFERROR(HLOOKUP($B71,FUT_18_Tot_Men,Age15_29, FALSE)/(HLOOKUP("Total",FUT_18_Tot_Men,Age15_29, FALSE)-HLOOKUP("Not applicable",FUT_18_Tot_Men,Age15_29, FALSE)),":")</f>
        <v>0</v>
      </c>
      <c r="E71" s="54">
        <f>IFERROR(HLOOKUP($B71,FUT_18_Tot_Women,Age15_29, FALSE)/(HLOOKUP("Total",FUT_18_Tot_Women,Age15_29, FALSE)-HLOOKUP("Not applicable",FUT_18_Tot_Women,Age15_29, FALSE)),":")</f>
        <v>0</v>
      </c>
      <c r="F71" s="52">
        <f>IFERROR(HLOOKUP($B71,FUT_18_Tot_Tot,Age15_19, FALSE)/(HLOOKUP("Total",FUT_18_Tot_Tot,Age15_19, FALSE)-HLOOKUP("Not applicable",FUT_18_Tot_Tot,Age15_19, FALSE)),":")</f>
        <v>0</v>
      </c>
      <c r="G71" s="53">
        <f>IFERROR(HLOOKUP($B71,FUT_18_Tot_Men,Age15_19, FALSE)/(HLOOKUP("Total",FUT_18_Tot_Men,Age15_19, FALSE)-HLOOKUP("Not applicable",FUT_18_Tot_Men,Age15_19, FALSE)),":")</f>
        <v>0</v>
      </c>
      <c r="H71" s="54">
        <f>IFERROR(HLOOKUP($B71,FUT_18_Tot_Women,Age15_19, FALSE)/(HLOOKUP("Total",FUT_18_Tot_Women,Age15_19, FALSE)-HLOOKUP("Not applicable",FUT_18_Tot_Women,Age15_19, FALSE)),":")</f>
        <v>0</v>
      </c>
      <c r="I71" s="52">
        <f>IFERROR(HLOOKUP($B71,FUT_18_Tot_Tot,Age20_24, FALSE)/(HLOOKUP("Total",FUT_18_Tot_Tot,Age20_24, FALSE)-HLOOKUP("Not applicable",FUT_18_Tot_Tot,Age20_24, FALSE)),":")</f>
        <v>0</v>
      </c>
      <c r="J71" s="53">
        <f>IFERROR(HLOOKUP($B71,FUT_18_Tot_Men,Age20_24, FALSE)/(HLOOKUP("Total",FUT_18_Tot_Men,Age20_24, FALSE)-HLOOKUP("Not applicable",FUT_18_Tot_Men,Age20_24, FALSE)),":")</f>
        <v>0</v>
      </c>
      <c r="K71" s="54">
        <f>IFERROR(HLOOKUP($B71,FUT_18_Tot_Women,Age20_24, FALSE)/(HLOOKUP("Total",FUT_18_Tot_Women,Age20_24, FALSE)-HLOOKUP("Not applicable",FUT_18_Tot_Women,Age20_24, FALSE)),":")</f>
        <v>0</v>
      </c>
      <c r="L71" s="52">
        <f>IFERROR(HLOOKUP($B71,FUT_18_Tot_Tot,Age25_29, FALSE)/(HLOOKUP("Total",FUT_18_Tot_Tot,Age25_29, FALSE)-HLOOKUP("Not applicable",FUT_18_Tot_Tot,Age25_29, FALSE)),":")</f>
        <v>0</v>
      </c>
      <c r="M71" s="53">
        <f>IFERROR(HLOOKUP($B71,FUT_18_Tot_Men,Age25_29, FALSE)/(HLOOKUP("Total",FUT_18_Tot_Men,Age25_29, FALSE)-HLOOKUP("Not applicable",FUT_18_Tot_Men,Age25_29, FALSE)),":")</f>
        <v>0</v>
      </c>
      <c r="N71" s="54">
        <f>IFERROR(HLOOKUP($B71,FUT_18_Tot_Women,Age25_29, FALSE)/(HLOOKUP("Total",FUT_18_Tot_Women,Age25_29, FALSE)-HLOOKUP("Not applicable",FUT_18_Tot_Women,Age25_29, FALSE)),":")</f>
        <v>0</v>
      </c>
    </row>
    <row r="72" spans="1:14" outlineLevel="1" x14ac:dyDescent="0.35">
      <c r="A72" s="50"/>
      <c r="B72" s="60" t="s">
        <v>100</v>
      </c>
      <c r="C72" s="52">
        <f>IFERROR(HLOOKUP($B72,FUT_18_Tot_Tot,Age15_29, FALSE)/(HLOOKUP("Total",FUT_18_Tot_Tot,Age15_29, FALSE)-HLOOKUP("Not applicable",FUT_18_Tot_Tot,Age15_29, FALSE)),":")</f>
        <v>0</v>
      </c>
      <c r="D72" s="53">
        <f>IFERROR(HLOOKUP($B72,FUT_18_Tot_Men,Age15_29, FALSE)/(HLOOKUP("Total",FUT_18_Tot_Men,Age15_29, FALSE)-HLOOKUP("Not applicable",FUT_18_Tot_Men,Age15_29, FALSE)),":")</f>
        <v>0</v>
      </c>
      <c r="E72" s="54">
        <f>IFERROR(HLOOKUP($B72,FUT_18_Tot_Women,Age15_29, FALSE)/(HLOOKUP("Total",FUT_18_Tot_Women,Age15_29, FALSE)-HLOOKUP("Not applicable",FUT_18_Tot_Women,Age15_29, FALSE)),":")</f>
        <v>0</v>
      </c>
      <c r="F72" s="52">
        <f>IFERROR(HLOOKUP($B72,FUT_18_Tot_Tot,Age15_19, FALSE)/(HLOOKUP("Total",FUT_18_Tot_Tot,Age15_19, FALSE)-HLOOKUP("Not applicable",FUT_18_Tot_Tot,Age15_19, FALSE)),":")</f>
        <v>0</v>
      </c>
      <c r="G72" s="53">
        <f>IFERROR(HLOOKUP($B72,FUT_18_Tot_Men,Age15_19, FALSE)/(HLOOKUP("Total",FUT_18_Tot_Men,Age15_19, FALSE)-HLOOKUP("Not applicable",FUT_18_Tot_Men,Age15_19, FALSE)),":")</f>
        <v>0</v>
      </c>
      <c r="H72" s="54">
        <f>IFERROR(HLOOKUP($B72,FUT_18_Tot_Women,Age15_19, FALSE)/(HLOOKUP("Total",FUT_18_Tot_Women,Age15_19, FALSE)-HLOOKUP("Not applicable",FUT_18_Tot_Women,Age15_19, FALSE)),":")</f>
        <v>0</v>
      </c>
      <c r="I72" s="52">
        <f>IFERROR(HLOOKUP($B72,FUT_18_Tot_Tot,Age20_24, FALSE)/(HLOOKUP("Total",FUT_18_Tot_Tot,Age20_24, FALSE)-HLOOKUP("Not applicable",FUT_18_Tot_Tot,Age20_24, FALSE)),":")</f>
        <v>0</v>
      </c>
      <c r="J72" s="53">
        <f>IFERROR(HLOOKUP($B72,FUT_18_Tot_Men,Age20_24, FALSE)/(HLOOKUP("Total",FUT_18_Tot_Men,Age20_24, FALSE)-HLOOKUP("Not applicable",FUT_18_Tot_Men,Age20_24, FALSE)),":")</f>
        <v>0</v>
      </c>
      <c r="K72" s="54">
        <f>IFERROR(HLOOKUP($B72,FUT_18_Tot_Women,Age20_24, FALSE)/(HLOOKUP("Total",FUT_18_Tot_Women,Age20_24, FALSE)-HLOOKUP("Not applicable",FUT_18_Tot_Women,Age20_24, FALSE)),":")</f>
        <v>0</v>
      </c>
      <c r="L72" s="52">
        <f>IFERROR(HLOOKUP($B72,FUT_18_Tot_Tot,Age25_29, FALSE)/(HLOOKUP("Total",FUT_18_Tot_Tot,Age25_29, FALSE)-HLOOKUP("Not applicable",FUT_18_Tot_Tot,Age25_29, FALSE)),":")</f>
        <v>0</v>
      </c>
      <c r="M72" s="53">
        <f>IFERROR(HLOOKUP($B72,FUT_18_Tot_Men,Age25_29, FALSE)/(HLOOKUP("Total",FUT_18_Tot_Men,Age25_29, FALSE)-HLOOKUP("Not applicable",FUT_18_Tot_Men,Age25_29, FALSE)),":")</f>
        <v>0</v>
      </c>
      <c r="N72" s="54">
        <f>IFERROR(HLOOKUP($B72,FUT_18_Tot_Women,Age25_29, FALSE)/(HLOOKUP("Total",FUT_18_Tot_Women,Age25_29, FALSE)-HLOOKUP("Not applicable",FUT_18_Tot_Women,Age25_29, FALSE)),":")</f>
        <v>0</v>
      </c>
    </row>
    <row r="73" spans="1:14" ht="15" thickBot="1" x14ac:dyDescent="0.4">
      <c r="A73" s="105" t="s">
        <v>21</v>
      </c>
      <c r="B73" s="106"/>
      <c r="C73" s="107">
        <f>IFERROR(HLOOKUP($A73,FUT_18_Tot_Tot,Age15_29, FALSE)/(HLOOKUP("Total",FUT_18_Tot_Tot,Age15_29, FALSE)-HLOOKUP("Not applicable",FUT_18_Tot_Tot,Age15_29, FALSE)),":")</f>
        <v>1</v>
      </c>
      <c r="D73" s="108">
        <f>IFERROR(HLOOKUP($A73,FUT_18_Tot_Men,Age15_29, FALSE)/(HLOOKUP("Total",FUT_18_Tot_Men,Age15_29, FALSE)-HLOOKUP("Not applicable",FUT_18_Tot_Men,Age15_29, FALSE)),":")</f>
        <v>1</v>
      </c>
      <c r="E73" s="109">
        <f>IFERROR(HLOOKUP($A73,FUT_18_Tot_Women,Age15_29, FALSE)/(HLOOKUP("Total",FUT_18_Tot_Women,Age15_29, FALSE)-HLOOKUP("Not applicable",FUT_18_Tot_Women,Age15_29, FALSE)),":")</f>
        <v>1</v>
      </c>
      <c r="F73" s="107">
        <f>IFERROR(HLOOKUP($A73,FUT_18_Tot_Tot,Age15_19, FALSE)/(HLOOKUP("Total",FUT_18_Tot_Tot,Age15_19, FALSE)-HLOOKUP("Not applicable",FUT_18_Tot_Tot,Age15_19, FALSE)),":")</f>
        <v>1</v>
      </c>
      <c r="G73" s="108">
        <f>IFERROR(HLOOKUP($A73,FUT_18_Tot_Men,Age15_19, FALSE)/(HLOOKUP("Total",FUT_18_Tot_Men,Age15_19, FALSE)-HLOOKUP("Not applicable",FUT_18_Tot_Men,Age15_19, FALSE)),":")</f>
        <v>1</v>
      </c>
      <c r="H73" s="109">
        <f>IFERROR(HLOOKUP($A73,FUT_18_Tot_Women,Age15_19, FALSE)/(HLOOKUP("Total",FUT_18_Tot_Women,Age15_19, FALSE)-HLOOKUP("Not applicable",FUT_18_Tot_Women,Age15_19, FALSE)),":")</f>
        <v>1</v>
      </c>
      <c r="I73" s="107">
        <f>IFERROR(HLOOKUP($A73,FUT_18_Tot_Tot,Age20_24, FALSE)/(HLOOKUP("Total",FUT_18_Tot_Tot,Age20_24, FALSE)-HLOOKUP("Not applicable",FUT_18_Tot_Tot,Age20_24, FALSE)),":")</f>
        <v>1</v>
      </c>
      <c r="J73" s="108">
        <f>IFERROR(HLOOKUP($A73,FUT_18_Tot_Men,Age20_24, FALSE)/(HLOOKUP("Total",FUT_18_Tot_Men,Age20_24, FALSE)-HLOOKUP("Not applicable",FUT_18_Tot_Men,Age20_24, FALSE)),":")</f>
        <v>1</v>
      </c>
      <c r="K73" s="109">
        <f>IFERROR(HLOOKUP($A73,FUT_18_Tot_Women,Age20_24, FALSE)/(HLOOKUP("Total",FUT_18_Tot_Women,Age20_24, FALSE)-HLOOKUP("Not applicable",FUT_18_Tot_Women,Age20_24, FALSE)),":")</f>
        <v>1</v>
      </c>
      <c r="L73" s="107">
        <f>IFERROR(HLOOKUP($A73,FUT_18_Tot_Tot,Age25_29, FALSE)/(HLOOKUP("Total",FUT_18_Tot_Tot,Age25_29, FALSE)-HLOOKUP("Not applicable",FUT_18_Tot_Tot,Age25_29, FALSE)),":")</f>
        <v>1</v>
      </c>
      <c r="M73" s="108">
        <f>IFERROR(HLOOKUP($A73,FUT_18_Tot_Men,Age25_29, FALSE)/(HLOOKUP("Total",FUT_18_Tot_Men,Age25_29, FALSE)-HLOOKUP("Not applicable",FUT_18_Tot_Men,Age25_29, FALSE)),":")</f>
        <v>1</v>
      </c>
      <c r="N73" s="109">
        <f>IFERROR(HLOOKUP($A73,FUT_18_Tot_Women,Age25_29, FALSE)/(HLOOKUP("Total",FUT_18_Tot_Women,Age25_29, FALSE)-HLOOKUP("Not applicable",FUT_18_Tot_Women,Age25_29, FALSE)),":")</f>
        <v>1</v>
      </c>
    </row>
    <row r="74" spans="1:14" ht="15" thickTop="1" x14ac:dyDescent="0.35"/>
    <row r="77" spans="1:14" s="45" customFormat="1" x14ac:dyDescent="0.35">
      <c r="A77" s="45" t="s">
        <v>211</v>
      </c>
      <c r="C77" s="45" t="s">
        <v>198</v>
      </c>
    </row>
    <row r="78" spans="1:14" s="45" customFormat="1" ht="58.5" customHeight="1" x14ac:dyDescent="0.35">
      <c r="A78" s="45" t="s">
        <v>212</v>
      </c>
      <c r="C78" s="371" t="s">
        <v>445</v>
      </c>
      <c r="D78" s="371"/>
      <c r="E78" s="371"/>
      <c r="F78" s="371"/>
      <c r="G78" s="371"/>
      <c r="H78" s="371"/>
      <c r="I78" s="371"/>
      <c r="J78" s="371"/>
      <c r="K78" s="371"/>
    </row>
    <row r="79" spans="1:14" ht="15" thickBot="1" x14ac:dyDescent="0.4"/>
    <row r="80" spans="1:14" ht="15.75" customHeight="1" thickTop="1" x14ac:dyDescent="0.35">
      <c r="A80" s="361" t="s">
        <v>192</v>
      </c>
      <c r="B80" s="369"/>
      <c r="C80" s="365" t="s">
        <v>240</v>
      </c>
      <c r="D80" s="366"/>
      <c r="E80" s="367"/>
      <c r="F80" s="365" t="s">
        <v>11</v>
      </c>
      <c r="G80" s="366"/>
      <c r="H80" s="367"/>
      <c r="I80" s="368" t="s">
        <v>13</v>
      </c>
      <c r="J80" s="366"/>
      <c r="K80" s="367"/>
      <c r="L80" s="365" t="s">
        <v>239</v>
      </c>
      <c r="M80" s="366"/>
      <c r="N80" s="373"/>
    </row>
    <row r="81" spans="1:14" x14ac:dyDescent="0.35">
      <c r="A81" s="363"/>
      <c r="B81" s="370"/>
      <c r="C81" s="49" t="s">
        <v>3</v>
      </c>
      <c r="D81" s="47" t="s">
        <v>4</v>
      </c>
      <c r="E81" s="48" t="s">
        <v>5</v>
      </c>
      <c r="F81" s="49" t="s">
        <v>3</v>
      </c>
      <c r="G81" s="47" t="s">
        <v>4</v>
      </c>
      <c r="H81" s="48" t="s">
        <v>5</v>
      </c>
      <c r="I81" s="46" t="s">
        <v>3</v>
      </c>
      <c r="J81" s="47" t="s">
        <v>4</v>
      </c>
      <c r="K81" s="48" t="s">
        <v>5</v>
      </c>
      <c r="L81" s="49" t="s">
        <v>3</v>
      </c>
      <c r="M81" s="47" t="s">
        <v>4</v>
      </c>
      <c r="N81" s="204" t="s">
        <v>5</v>
      </c>
    </row>
    <row r="82" spans="1:14" x14ac:dyDescent="0.35">
      <c r="A82" s="99" t="s">
        <v>193</v>
      </c>
      <c r="B82" s="100"/>
      <c r="C82" s="101" t="str">
        <f t="shared" ref="C82:E82" si="24">IF(COUNT(C83:C86)&gt;0,SUM(C83:C86),":")</f>
        <v>:</v>
      </c>
      <c r="D82" s="102" t="str">
        <f t="shared" si="24"/>
        <v>:</v>
      </c>
      <c r="E82" s="103" t="str">
        <f t="shared" si="24"/>
        <v>:</v>
      </c>
      <c r="F82" s="101" t="str">
        <f t="shared" ref="F82:K82" si="25">IF(COUNT(F83:F86)&gt;0,SUM(F83:F86),":")</f>
        <v>:</v>
      </c>
      <c r="G82" s="102" t="str">
        <f t="shared" si="25"/>
        <v>:</v>
      </c>
      <c r="H82" s="103" t="str">
        <f t="shared" si="25"/>
        <v>:</v>
      </c>
      <c r="I82" s="101" t="str">
        <f t="shared" si="25"/>
        <v>:</v>
      </c>
      <c r="J82" s="102" t="str">
        <f t="shared" si="25"/>
        <v>:</v>
      </c>
      <c r="K82" s="103" t="str">
        <f t="shared" si="25"/>
        <v>:</v>
      </c>
      <c r="L82" s="101" t="str">
        <f t="shared" ref="L82:N82" si="26">IF(COUNT(L83:L86)&gt;0,SUM(L83:L86),":")</f>
        <v>:</v>
      </c>
      <c r="M82" s="102" t="str">
        <f t="shared" si="26"/>
        <v>:</v>
      </c>
      <c r="N82" s="103" t="str">
        <f t="shared" si="26"/>
        <v>:</v>
      </c>
    </row>
    <row r="83" spans="1:14" outlineLevel="1" x14ac:dyDescent="0.35">
      <c r="A83" s="50"/>
      <c r="B83" s="60" t="s">
        <v>15</v>
      </c>
      <c r="C83" s="52" t="str">
        <f>IFERROR(HLOOKUP($B83,FUT_6_Emp_Tot,Age15_29, FALSE)/(HLOOKUP("Total",FUT_6_Emp_Tot,Age15_29, FALSE)-HLOOKUP("Not applicable",FUT_6_Emp_Tot,Age15_29, FALSE)),":")</f>
        <v>:</v>
      </c>
      <c r="D83" s="53" t="str">
        <f>IFERROR(HLOOKUP($B83,FUT_6_Emp_Men,Age15_29, FALSE)/(HLOOKUP("Total",FUT_6_Emp_Men,Age15_29, FALSE)-HLOOKUP("Not applicable",FUT_6_Emp_Men,Age15_29, FALSE)),":")</f>
        <v>:</v>
      </c>
      <c r="E83" s="54" t="str">
        <f>IFERROR(HLOOKUP($B83,FUT_6_Emp_Women,Age15_29, FALSE)/(HLOOKUP("Total",FUT_6_Emp_Women,Age15_29, FALSE)-HLOOKUP("Not applicable",FUT_6_Emp_Women,Age15_29, FALSE)),":")</f>
        <v>:</v>
      </c>
      <c r="F83" s="52" t="str">
        <f>IFERROR(HLOOKUP($B83,FUT_6_Emp_Tot,Age15_19, FALSE)/(HLOOKUP("Total",FUT_6_Emp_Tot,Age15_19, FALSE)-HLOOKUP("Not applicable",FUT_6_Emp_Tot,Age15_19, FALSE)),":")</f>
        <v>:</v>
      </c>
      <c r="G83" s="53" t="str">
        <f>IFERROR(HLOOKUP($B83,FUT_6_Emp_Men,Age15_19, FALSE)/(HLOOKUP("Total",FUT_6_Emp_Men,Age15_19, FALSE)-HLOOKUP("Not applicable",FUT_6_Emp_Men,Age15_19, FALSE)),":")</f>
        <v>:</v>
      </c>
      <c r="H83" s="54" t="str">
        <f>IFERROR(HLOOKUP($B83,FUT_6_Emp_Women,Age15_19, FALSE)/(HLOOKUP("Total",FUT_6_Emp_Women,Age15_19, FALSE)-HLOOKUP("Not applicable",FUT_6_Emp_Women,Age15_19, FALSE)),":")</f>
        <v>:</v>
      </c>
      <c r="I83" s="52" t="str">
        <f>IFERROR(HLOOKUP($B83,FUT_6_Emp_Tot,Age20_24, FALSE)/(HLOOKUP("Total",FUT_6_Emp_Tot,Age20_24, FALSE)-HLOOKUP("Not applicable",FUT_6_Emp_Tot,Age20_24, FALSE)),":")</f>
        <v>:</v>
      </c>
      <c r="J83" s="53" t="str">
        <f>IFERROR(HLOOKUP($B83,FUT_6_Emp_Men,Age20_24, FALSE)/(HLOOKUP("Total",FUT_6_Emp_Men,Age20_24, FALSE)-HLOOKUP("Not applicable",FUT_6_Emp_Men,Age20_24, FALSE)),":")</f>
        <v>:</v>
      </c>
      <c r="K83" s="54" t="str">
        <f>IFERROR(HLOOKUP($B83,FUT_6_Emp_Women,Age20_24, FALSE)/(HLOOKUP("Total",FUT_6_Emp_Women,Age20_24, FALSE)-HLOOKUP("Not applicable",FUT_6_Emp_Women,Age20_24, FALSE)),":")</f>
        <v>:</v>
      </c>
      <c r="L83" s="52" t="str">
        <f>IFERROR(HLOOKUP($B83,FUT_6_Emp_Tot,Age25_29, FALSE)/(HLOOKUP("Total",FUT_6_Emp_Tot,Age25_29, FALSE)-HLOOKUP("Not applicable",FUT_6_Emp_Tot,Age25_29, FALSE)),":")</f>
        <v>:</v>
      </c>
      <c r="M83" s="53" t="str">
        <f>IFERROR(HLOOKUP($B83,FUT_6_Emp_Men,Age25_29, FALSE)/(HLOOKUP("Total",FUT_6_Emp_Men,Age25_29, FALSE)-HLOOKUP("Not applicable",FUT_6_Emp_Men,Age25_29, FALSE)),":")</f>
        <v>:</v>
      </c>
      <c r="N83" s="54" t="str">
        <f>IFERROR(HLOOKUP($B83,FUT_6_Emp_Women,Age25_29, FALSE)/(HLOOKUP("Total",FUT_6_Emp_Women,Age25_29, FALSE)-HLOOKUP("Not applicable",FUT_6_Emp_Women,Age25_29, FALSE)),":")</f>
        <v>:</v>
      </c>
    </row>
    <row r="84" spans="1:14" outlineLevel="1" x14ac:dyDescent="0.35">
      <c r="A84" s="50"/>
      <c r="B84" s="60" t="s">
        <v>16</v>
      </c>
      <c r="C84" s="52" t="str">
        <f>IFERROR(HLOOKUP($B84,FUT_6_Emp_Tot,Age15_29, FALSE)/(HLOOKUP("Total",FUT_6_Emp_Tot,Age15_29, FALSE)-HLOOKUP("Not applicable",FUT_6_Emp_Tot,Age15_29, FALSE)),":")</f>
        <v>:</v>
      </c>
      <c r="D84" s="53" t="str">
        <f>IFERROR(HLOOKUP($B84,FUT_6_Emp_Men,Age15_29, FALSE)/(HLOOKUP("Total",FUT_6_Emp_Men,Age15_29, FALSE)-HLOOKUP("Not applicable",FUT_6_Emp_Men,Age15_29, FALSE)),":")</f>
        <v>:</v>
      </c>
      <c r="E84" s="54" t="str">
        <f>IFERROR(HLOOKUP($B84,FUT_6_Emp_Women,Age15_29, FALSE)/(HLOOKUP("Total",FUT_6_Emp_Women,Age15_29, FALSE)-HLOOKUP("Not applicable",FUT_6_Emp_Women,Age15_29, FALSE)),":")</f>
        <v>:</v>
      </c>
      <c r="F84" s="52" t="str">
        <f>IFERROR(HLOOKUP($B84,FUT_6_Emp_Tot,Age15_19, FALSE)/(HLOOKUP("Total",FUT_6_Emp_Tot,Age15_19, FALSE)-HLOOKUP("Not applicable",FUT_6_Emp_Tot,Age15_19, FALSE)),":")</f>
        <v>:</v>
      </c>
      <c r="G84" s="53" t="str">
        <f>IFERROR(HLOOKUP($B84,FUT_6_Emp_Men,Age15_19, FALSE)/(HLOOKUP("Total",FUT_6_Emp_Men,Age15_19, FALSE)-HLOOKUP("Not applicable",FUT_6_Emp_Men,Age15_19, FALSE)),":")</f>
        <v>:</v>
      </c>
      <c r="H84" s="54" t="str">
        <f>IFERROR(HLOOKUP($B84,FUT_6_Emp_Women,Age15_19, FALSE)/(HLOOKUP("Total",FUT_6_Emp_Women,Age15_19, FALSE)-HLOOKUP("Not applicable",FUT_6_Emp_Women,Age15_19, FALSE)),":")</f>
        <v>:</v>
      </c>
      <c r="I84" s="52" t="str">
        <f>IFERROR(HLOOKUP($B84,FUT_6_Emp_Tot,Age20_24, FALSE)/(HLOOKUP("Total",FUT_6_Emp_Tot,Age20_24, FALSE)-HLOOKUP("Not applicable",FUT_6_Emp_Tot,Age20_24, FALSE)),":")</f>
        <v>:</v>
      </c>
      <c r="J84" s="53" t="str">
        <f>IFERROR(HLOOKUP($B84,FUT_6_Emp_Men,Age20_24, FALSE)/(HLOOKUP("Total",FUT_6_Emp_Men,Age20_24, FALSE)-HLOOKUP("Not applicable",FUT_6_Emp_Men,Age20_24, FALSE)),":")</f>
        <v>:</v>
      </c>
      <c r="K84" s="54" t="str">
        <f>IFERROR(HLOOKUP($B84,FUT_6_Emp_Women,Age20_24, FALSE)/(HLOOKUP("Total",FUT_6_Emp_Women,Age20_24, FALSE)-HLOOKUP("Not applicable",FUT_6_Emp_Women,Age20_24, FALSE)),":")</f>
        <v>:</v>
      </c>
      <c r="L84" s="52" t="str">
        <f>IFERROR(HLOOKUP($B84,FUT_6_Emp_Tot,Age25_29, FALSE)/(HLOOKUP("Total",FUT_6_Emp_Tot,Age25_29, FALSE)-HLOOKUP("Not applicable",FUT_6_Emp_Tot,Age25_29, FALSE)),":")</f>
        <v>:</v>
      </c>
      <c r="M84" s="53" t="str">
        <f>IFERROR(HLOOKUP($B84,FUT_6_Emp_Men,Age25_29, FALSE)/(HLOOKUP("Total",FUT_6_Emp_Men,Age25_29, FALSE)-HLOOKUP("Not applicable",FUT_6_Emp_Men,Age25_29, FALSE)),":")</f>
        <v>:</v>
      </c>
      <c r="N84" s="54" t="str">
        <f>IFERROR(HLOOKUP($B84,FUT_6_Emp_Women,Age25_29, FALSE)/(HLOOKUP("Total",FUT_6_Emp_Women,Age25_29, FALSE)-HLOOKUP("Not applicable",FUT_6_Emp_Women,Age25_29, FALSE)),":")</f>
        <v>:</v>
      </c>
    </row>
    <row r="85" spans="1:14" outlineLevel="1" x14ac:dyDescent="0.35">
      <c r="A85" s="50"/>
      <c r="B85" s="60" t="s">
        <v>17</v>
      </c>
      <c r="C85" s="52" t="str">
        <f>IFERROR(HLOOKUP($B85,FUT_6_Emp_Tot,Age15_29, FALSE)/(HLOOKUP("Total",FUT_6_Emp_Tot,Age15_29, FALSE)-HLOOKUP("Not applicable",FUT_6_Emp_Tot,Age15_29, FALSE)),":")</f>
        <v>:</v>
      </c>
      <c r="D85" s="53" t="str">
        <f>IFERROR(HLOOKUP($B85,FUT_6_Emp_Men,Age15_29, FALSE)/(HLOOKUP("Total",FUT_6_Emp_Men,Age15_29, FALSE)-HLOOKUP("Not applicable",FUT_6_Emp_Men,Age15_29, FALSE)),":")</f>
        <v>:</v>
      </c>
      <c r="E85" s="54" t="str">
        <f>IFERROR(HLOOKUP($B85,FUT_6_Emp_Women,Age15_29, FALSE)/(HLOOKUP("Total",FUT_6_Emp_Women,Age15_29, FALSE)-HLOOKUP("Not applicable",FUT_6_Emp_Women,Age15_29, FALSE)),":")</f>
        <v>:</v>
      </c>
      <c r="F85" s="52" t="str">
        <f>IFERROR(HLOOKUP($B85,FUT_6_Emp_Tot,Age15_19, FALSE)/(HLOOKUP("Total",FUT_6_Emp_Tot,Age15_19, FALSE)-HLOOKUP("Not applicable",FUT_6_Emp_Tot,Age15_19, FALSE)),":")</f>
        <v>:</v>
      </c>
      <c r="G85" s="53" t="str">
        <f>IFERROR(HLOOKUP($B85,FUT_6_Emp_Men,Age15_19, FALSE)/(HLOOKUP("Total",FUT_6_Emp_Men,Age15_19, FALSE)-HLOOKUP("Not applicable",FUT_6_Emp_Men,Age15_19, FALSE)),":")</f>
        <v>:</v>
      </c>
      <c r="H85" s="54" t="str">
        <f>IFERROR(HLOOKUP($B85,FUT_6_Emp_Women,Age15_19, FALSE)/(HLOOKUP("Total",FUT_6_Emp_Women,Age15_19, FALSE)-HLOOKUP("Not applicable",FUT_6_Emp_Women,Age15_19, FALSE)),":")</f>
        <v>:</v>
      </c>
      <c r="I85" s="52" t="str">
        <f>IFERROR(HLOOKUP($B85,FUT_6_Emp_Tot,Age20_24, FALSE)/(HLOOKUP("Total",FUT_6_Emp_Tot,Age20_24, FALSE)-HLOOKUP("Not applicable",FUT_6_Emp_Tot,Age20_24, FALSE)),":")</f>
        <v>:</v>
      </c>
      <c r="J85" s="53" t="str">
        <f>IFERROR(HLOOKUP($B85,FUT_6_Emp_Men,Age20_24, FALSE)/(HLOOKUP("Total",FUT_6_Emp_Men,Age20_24, FALSE)-HLOOKUP("Not applicable",FUT_6_Emp_Men,Age20_24, FALSE)),":")</f>
        <v>:</v>
      </c>
      <c r="K85" s="54" t="str">
        <f>IFERROR(HLOOKUP($B85,FUT_6_Emp_Women,Age20_24, FALSE)/(HLOOKUP("Total",FUT_6_Emp_Women,Age20_24, FALSE)-HLOOKUP("Not applicable",FUT_6_Emp_Women,Age20_24, FALSE)),":")</f>
        <v>:</v>
      </c>
      <c r="L85" s="52" t="str">
        <f>IFERROR(HLOOKUP($B85,FUT_6_Emp_Tot,Age25_29, FALSE)/(HLOOKUP("Total",FUT_6_Emp_Tot,Age25_29, FALSE)-HLOOKUP("Not applicable",FUT_6_Emp_Tot,Age25_29, FALSE)),":")</f>
        <v>:</v>
      </c>
      <c r="M85" s="53" t="str">
        <f>IFERROR(HLOOKUP($B85,FUT_6_Emp_Men,Age25_29, FALSE)/(HLOOKUP("Total",FUT_6_Emp_Men,Age25_29, FALSE)-HLOOKUP("Not applicable",FUT_6_Emp_Men,Age25_29, FALSE)),":")</f>
        <v>:</v>
      </c>
      <c r="N85" s="54" t="str">
        <f>IFERROR(HLOOKUP($B85,FUT_6_Emp_Women,Age25_29, FALSE)/(HLOOKUP("Total",FUT_6_Emp_Women,Age25_29, FALSE)-HLOOKUP("Not applicable",FUT_6_Emp_Women,Age25_29, FALSE)),":")</f>
        <v>:</v>
      </c>
    </row>
    <row r="86" spans="1:14" outlineLevel="1" x14ac:dyDescent="0.35">
      <c r="A86" s="50"/>
      <c r="B86" s="60" t="s">
        <v>18</v>
      </c>
      <c r="C86" s="52" t="str">
        <f>IFERROR(HLOOKUP($B86,FUT_6_Emp_Tot,Age15_29, FALSE)/(HLOOKUP("Total",FUT_6_Emp_Tot,Age15_29, FALSE)-HLOOKUP("Not applicable",FUT_6_Emp_Tot,Age15_29, FALSE)),":")</f>
        <v>:</v>
      </c>
      <c r="D86" s="53" t="str">
        <f>IFERROR(HLOOKUP($B86,FUT_6_Emp_Men,Age15_29, FALSE)/(HLOOKUP("Total",FUT_6_Emp_Men,Age15_29, FALSE)-HLOOKUP("Not applicable",FUT_6_Emp_Men,Age15_29, FALSE)),":")</f>
        <v>:</v>
      </c>
      <c r="E86" s="54" t="str">
        <f>IFERROR(HLOOKUP($B86,FUT_6_Emp_Women,Age15_29, FALSE)/(HLOOKUP("Total",FUT_6_Emp_Women,Age15_29, FALSE)-HLOOKUP("Not applicable",FUT_6_Emp_Women,Age15_29, FALSE)),":")</f>
        <v>:</v>
      </c>
      <c r="F86" s="52" t="str">
        <f>IFERROR(HLOOKUP($B86,FUT_6_Emp_Tot,Age15_19, FALSE)/(HLOOKUP("Total",FUT_6_Emp_Tot,Age15_19, FALSE)-HLOOKUP("Not applicable",FUT_6_Emp_Tot,Age15_19, FALSE)),":")</f>
        <v>:</v>
      </c>
      <c r="G86" s="53" t="str">
        <f>IFERROR(HLOOKUP($B86,FUT_6_Emp_Men,Age15_19, FALSE)/(HLOOKUP("Total",FUT_6_Emp_Men,Age15_19, FALSE)-HLOOKUP("Not applicable",FUT_6_Emp_Men,Age15_19, FALSE)),":")</f>
        <v>:</v>
      </c>
      <c r="H86" s="54" t="str">
        <f>IFERROR(HLOOKUP($B86,FUT_6_Emp_Women,Age15_19, FALSE)/(HLOOKUP("Total",FUT_6_Emp_Women,Age15_19, FALSE)-HLOOKUP("Not applicable",FUT_6_Emp_Women,Age15_19, FALSE)),":")</f>
        <v>:</v>
      </c>
      <c r="I86" s="52" t="str">
        <f>IFERROR(HLOOKUP($B86,FUT_6_Emp_Tot,Age20_24, FALSE)/(HLOOKUP("Total",FUT_6_Emp_Tot,Age20_24, FALSE)-HLOOKUP("Not applicable",FUT_6_Emp_Tot,Age20_24, FALSE)),":")</f>
        <v>:</v>
      </c>
      <c r="J86" s="53" t="str">
        <f>IFERROR(HLOOKUP($B86,FUT_6_Emp_Men,Age20_24, FALSE)/(HLOOKUP("Total",FUT_6_Emp_Men,Age20_24, FALSE)-HLOOKUP("Not applicable",FUT_6_Emp_Men,Age20_24, FALSE)),":")</f>
        <v>:</v>
      </c>
      <c r="K86" s="54" t="str">
        <f>IFERROR(HLOOKUP($B86,FUT_6_Emp_Women,Age20_24, FALSE)/(HLOOKUP("Total",FUT_6_Emp_Women,Age20_24, FALSE)-HLOOKUP("Not applicable",FUT_6_Emp_Women,Age20_24, FALSE)),":")</f>
        <v>:</v>
      </c>
      <c r="L86" s="52" t="str">
        <f>IFERROR(HLOOKUP($B86,FUT_6_Emp_Tot,Age25_29, FALSE)/(HLOOKUP("Total",FUT_6_Emp_Tot,Age25_29, FALSE)-HLOOKUP("Not applicable",FUT_6_Emp_Tot,Age25_29, FALSE)),":")</f>
        <v>:</v>
      </c>
      <c r="M86" s="53" t="str">
        <f>IFERROR(HLOOKUP($B86,FUT_6_Emp_Men,Age25_29, FALSE)/(HLOOKUP("Total",FUT_6_Emp_Men,Age25_29, FALSE)-HLOOKUP("Not applicable",FUT_6_Emp_Men,Age25_29, FALSE)),":")</f>
        <v>:</v>
      </c>
      <c r="N86" s="54" t="str">
        <f>IFERROR(HLOOKUP($B86,FUT_6_Emp_Women,Age25_29, FALSE)/(HLOOKUP("Total",FUT_6_Emp_Women,Age25_29, FALSE)-HLOOKUP("Not applicable",FUT_6_Emp_Women,Age25_29, FALSE)),":")</f>
        <v>:</v>
      </c>
    </row>
    <row r="87" spans="1:14" x14ac:dyDescent="0.35">
      <c r="A87" s="99" t="s">
        <v>194</v>
      </c>
      <c r="B87" s="104"/>
      <c r="C87" s="101" t="str">
        <f t="shared" ref="C87:E87" si="27">IF(COUNT(C88:C89)&gt;0,SUM(C88:C89),":")</f>
        <v>:</v>
      </c>
      <c r="D87" s="102" t="str">
        <f t="shared" si="27"/>
        <v>:</v>
      </c>
      <c r="E87" s="103" t="str">
        <f t="shared" si="27"/>
        <v>:</v>
      </c>
      <c r="F87" s="101" t="str">
        <f t="shared" ref="F87:K87" si="28">IF(COUNT(F88:F89)&gt;0,SUM(F88:F89),":")</f>
        <v>:</v>
      </c>
      <c r="G87" s="102" t="str">
        <f t="shared" si="28"/>
        <v>:</v>
      </c>
      <c r="H87" s="103" t="str">
        <f t="shared" si="28"/>
        <v>:</v>
      </c>
      <c r="I87" s="101" t="str">
        <f t="shared" si="28"/>
        <v>:</v>
      </c>
      <c r="J87" s="102" t="str">
        <f t="shared" si="28"/>
        <v>:</v>
      </c>
      <c r="K87" s="103" t="str">
        <f t="shared" si="28"/>
        <v>:</v>
      </c>
      <c r="L87" s="101" t="str">
        <f t="shared" ref="L87:N87" si="29">IF(COUNT(L88:L89)&gt;0,SUM(L88:L89),":")</f>
        <v>:</v>
      </c>
      <c r="M87" s="102" t="str">
        <f t="shared" si="29"/>
        <v>:</v>
      </c>
      <c r="N87" s="103" t="str">
        <f t="shared" si="29"/>
        <v>:</v>
      </c>
    </row>
    <row r="88" spans="1:14" outlineLevel="1" x14ac:dyDescent="0.35">
      <c r="A88" s="50"/>
      <c r="B88" s="60" t="s">
        <v>20</v>
      </c>
      <c r="C88" s="52" t="str">
        <f>IFERROR(HLOOKUP($B88,FUT_6_Emp_Tot,Age15_29, FALSE)/(HLOOKUP("Total",FUT_6_Emp_Tot,Age15_29, FALSE)-HLOOKUP("Not applicable",FUT_6_Emp_Tot,Age15_29, FALSE)),":")</f>
        <v>:</v>
      </c>
      <c r="D88" s="53" t="str">
        <f>IFERROR(HLOOKUP($B88,FUT_6_Emp_Men,Age15_29, FALSE)/(HLOOKUP("Total",FUT_6_Emp_Men,Age15_29, FALSE)-HLOOKUP("Not applicable",FUT_6_Emp_Men,Age15_29, FALSE)),":")</f>
        <v>:</v>
      </c>
      <c r="E88" s="54" t="str">
        <f>IFERROR(HLOOKUP($B88,FUT_6_Emp_Women,Age15_29, FALSE)/(HLOOKUP("Total",FUT_6_Emp_Women,Age15_29, FALSE)-HLOOKUP("Not applicable",FUT_6_Emp_Women,Age15_29, FALSE)),":")</f>
        <v>:</v>
      </c>
      <c r="F88" s="52" t="str">
        <f>IFERROR(HLOOKUP($B88,FUT_6_Emp_Tot,Age15_19, FALSE)/(HLOOKUP("Total",FUT_6_Emp_Tot,Age15_19, FALSE)-HLOOKUP("Not applicable",FUT_6_Emp_Tot,Age15_19, FALSE)),":")</f>
        <v>:</v>
      </c>
      <c r="G88" s="53" t="str">
        <f>IFERROR(HLOOKUP($B88,FUT_6_Emp_Men,Age15_19, FALSE)/(HLOOKUP("Total",FUT_6_Emp_Men,Age15_19, FALSE)-HLOOKUP("Not applicable",FUT_6_Emp_Men,Age15_19, FALSE)),":")</f>
        <v>:</v>
      </c>
      <c r="H88" s="54" t="str">
        <f>IFERROR(HLOOKUP($B88,FUT_6_Emp_Women,Age15_19, FALSE)/(HLOOKUP("Total",FUT_6_Emp_Women,Age15_19, FALSE)-HLOOKUP("Not applicable",FUT_6_Emp_Women,Age15_19, FALSE)),":")</f>
        <v>:</v>
      </c>
      <c r="I88" s="52" t="str">
        <f>IFERROR(HLOOKUP($B88,FUT_6_Emp_Tot,Age20_24, FALSE)/(HLOOKUP("Total",FUT_6_Emp_Tot,Age20_24, FALSE)-HLOOKUP("Not applicable",FUT_6_Emp_Tot,Age20_24, FALSE)),":")</f>
        <v>:</v>
      </c>
      <c r="J88" s="53" t="str">
        <f>IFERROR(HLOOKUP($B88,FUT_6_Emp_Men,Age20_24, FALSE)/(HLOOKUP("Total",FUT_6_Emp_Men,Age20_24, FALSE)-HLOOKUP("Not applicable",FUT_6_Emp_Men,Age20_24, FALSE)),":")</f>
        <v>:</v>
      </c>
      <c r="K88" s="54" t="str">
        <f>IFERROR(HLOOKUP($B88,FUT_6_Emp_Women,Age20_24, FALSE)/(HLOOKUP("Total",FUT_6_Emp_Women,Age20_24, FALSE)-HLOOKUP("Not applicable",FUT_6_Emp_Women,Age20_24, FALSE)),":")</f>
        <v>:</v>
      </c>
      <c r="L88" s="52" t="str">
        <f>IFERROR(HLOOKUP($B88,FUT_6_Emp_Tot,Age25_29, FALSE)/(HLOOKUP("Total",FUT_6_Emp_Tot,Age25_29, FALSE)-HLOOKUP("Not applicable",FUT_6_Emp_Tot,Age25_29, FALSE)),":")</f>
        <v>:</v>
      </c>
      <c r="M88" s="53" t="str">
        <f>IFERROR(HLOOKUP($B88,FUT_6_Emp_Men,Age25_29, FALSE)/(HLOOKUP("Total",FUT_6_Emp_Men,Age25_29, FALSE)-HLOOKUP("Not applicable",FUT_6_Emp_Men,Age25_29, FALSE)),":")</f>
        <v>:</v>
      </c>
      <c r="N88" s="54" t="str">
        <f>IFERROR(HLOOKUP($B88,FUT_6_Emp_Women,Age25_29, FALSE)/(HLOOKUP("Total",FUT_6_Emp_Women,Age25_29, FALSE)-HLOOKUP("Not applicable",FUT_6_Emp_Women,Age25_29, FALSE)),":")</f>
        <v>:</v>
      </c>
    </row>
    <row r="89" spans="1:14" outlineLevel="1" x14ac:dyDescent="0.35">
      <c r="A89" s="50"/>
      <c r="B89" s="60" t="s">
        <v>100</v>
      </c>
      <c r="C89" s="52" t="str">
        <f>IFERROR(HLOOKUP($B89,FUT_6_Emp_Tot,Age15_29, FALSE)/(HLOOKUP("Total",FUT_6_Emp_Tot,Age15_29, FALSE)-HLOOKUP("Not applicable",FUT_6_Emp_Tot,Age15_29, FALSE)),":")</f>
        <v>:</v>
      </c>
      <c r="D89" s="53" t="str">
        <f>IFERROR(HLOOKUP($B89,FUT_6_Emp_Men,Age15_29, FALSE)/(HLOOKUP("Total",FUT_6_Emp_Men,Age15_29, FALSE)-HLOOKUP("Not applicable",FUT_6_Emp_Men,Age15_29, FALSE)),":")</f>
        <v>:</v>
      </c>
      <c r="E89" s="54" t="str">
        <f>IFERROR(HLOOKUP($B89,FUT_6_Emp_Women,Age15_29, FALSE)/(HLOOKUP("Total",FUT_6_Emp_Women,Age15_29, FALSE)-HLOOKUP("Not applicable",FUT_6_Emp_Women,Age15_29, FALSE)),":")</f>
        <v>:</v>
      </c>
      <c r="F89" s="52" t="str">
        <f>IFERROR(HLOOKUP($B89,FUT_6_Emp_Tot,Age15_19, FALSE)/(HLOOKUP("Total",FUT_6_Emp_Tot,Age15_19, FALSE)-HLOOKUP("Not applicable",FUT_6_Emp_Tot,Age15_19, FALSE)),":")</f>
        <v>:</v>
      </c>
      <c r="G89" s="53" t="str">
        <f>IFERROR(HLOOKUP($B89,FUT_6_Emp_Men,Age15_19, FALSE)/(HLOOKUP("Total",FUT_6_Emp_Men,Age15_19, FALSE)-HLOOKUP("Not applicable",FUT_6_Emp_Men,Age15_19, FALSE)),":")</f>
        <v>:</v>
      </c>
      <c r="H89" s="54" t="str">
        <f>IFERROR(HLOOKUP($B89,FUT_6_Emp_Women,Age15_19, FALSE)/(HLOOKUP("Total",FUT_6_Emp_Women,Age15_19, FALSE)-HLOOKUP("Not applicable",FUT_6_Emp_Women,Age15_19, FALSE)),":")</f>
        <v>:</v>
      </c>
      <c r="I89" s="52" t="str">
        <f>IFERROR(HLOOKUP($B89,FUT_6_Emp_Tot,Age20_24, FALSE)/(HLOOKUP("Total",FUT_6_Emp_Tot,Age20_24, FALSE)-HLOOKUP("Not applicable",FUT_6_Emp_Tot,Age20_24, FALSE)),":")</f>
        <v>:</v>
      </c>
      <c r="J89" s="53" t="str">
        <f>IFERROR(HLOOKUP($B89,FUT_6_Emp_Men,Age20_24, FALSE)/(HLOOKUP("Total",FUT_6_Emp_Men,Age20_24, FALSE)-HLOOKUP("Not applicable",FUT_6_Emp_Men,Age20_24, FALSE)),":")</f>
        <v>:</v>
      </c>
      <c r="K89" s="54" t="str">
        <f>IFERROR(HLOOKUP($B89,FUT_6_Emp_Women,Age20_24, FALSE)/(HLOOKUP("Total",FUT_6_Emp_Women,Age20_24, FALSE)-HLOOKUP("Not applicable",FUT_6_Emp_Women,Age20_24, FALSE)),":")</f>
        <v>:</v>
      </c>
      <c r="L89" s="52" t="str">
        <f>IFERROR(HLOOKUP($B89,FUT_6_Emp_Tot,Age25_29, FALSE)/(HLOOKUP("Total",FUT_6_Emp_Tot,Age25_29, FALSE)-HLOOKUP("Not applicable",FUT_6_Emp_Tot,Age25_29, FALSE)),":")</f>
        <v>:</v>
      </c>
      <c r="M89" s="53" t="str">
        <f>IFERROR(HLOOKUP($B89,FUT_6_Emp_Men,Age25_29, FALSE)/(HLOOKUP("Total",FUT_6_Emp_Men,Age25_29, FALSE)-HLOOKUP("Not applicable",FUT_6_Emp_Men,Age25_29, FALSE)),":")</f>
        <v>:</v>
      </c>
      <c r="N89" s="54" t="str">
        <f>IFERROR(HLOOKUP($B89,FUT_6_Emp_Women,Age25_29, FALSE)/(HLOOKUP("Total",FUT_6_Emp_Women,Age25_29, FALSE)-HLOOKUP("Not applicable",FUT_6_Emp_Women,Age25_29, FALSE)),":")</f>
        <v>:</v>
      </c>
    </row>
    <row r="90" spans="1:14" ht="15" thickBot="1" x14ac:dyDescent="0.4">
      <c r="A90" s="105" t="s">
        <v>21</v>
      </c>
      <c r="B90" s="106"/>
      <c r="C90" s="107" t="str">
        <f>IFERROR(HLOOKUP($A90,FUT_6_Emp_Tot,Age15_29, FALSE)/(HLOOKUP("Total",FUT_6_Emp_Tot,Age15_29, FALSE)-HLOOKUP("Not applicable",FUT_6_Emp_Tot,Age15_29, FALSE)),":")</f>
        <v>:</v>
      </c>
      <c r="D90" s="108" t="str">
        <f>IFERROR(HLOOKUP($A90,FUT_6_Emp_Men,Age15_29, FALSE)/(HLOOKUP("Total",FUT_6_Emp_Men,Age15_29, FALSE)-HLOOKUP("Not applicable",FUT_6_Emp_Men,Age15_29, FALSE)),":")</f>
        <v>:</v>
      </c>
      <c r="E90" s="109" t="str">
        <f>IFERROR(HLOOKUP($A90,FUT_6_Emp_Women,Age15_29, FALSE)/(HLOOKUP("Total",FUT_6_Emp_Women,Age15_29, FALSE)-HLOOKUP("Not applicable",FUT_6_Emp_Women,Age15_29, FALSE)),":")</f>
        <v>:</v>
      </c>
      <c r="F90" s="107" t="str">
        <f>IFERROR(HLOOKUP($A90,FUT_6_Emp_Tot,Age15_19, FALSE)/(HLOOKUP("Total",FUT_6_Emp_Tot,Age15_19, FALSE)-HLOOKUP("Not applicable",FUT_6_Emp_Tot,Age15_19, FALSE)),":")</f>
        <v>:</v>
      </c>
      <c r="G90" s="108" t="str">
        <f>IFERROR(HLOOKUP($A90,FUT_6_Emp_Men,Age15_19, FALSE)/(HLOOKUP("Total",FUT_6_Emp_Men,Age15_19, FALSE)-HLOOKUP("Not applicable",FUT_6_Emp_Men,Age15_19, FALSE)),":")</f>
        <v>:</v>
      </c>
      <c r="H90" s="109" t="str">
        <f>IFERROR(HLOOKUP($A90,FUT_6_Emp_Women,Age15_19, FALSE)/(HLOOKUP("Total",FUT_6_Emp_Women,Age15_19, FALSE)-HLOOKUP("Not applicable",FUT_6_Emp_Women,Age15_19, FALSE)),":")</f>
        <v>:</v>
      </c>
      <c r="I90" s="107" t="str">
        <f>IFERROR(HLOOKUP($A90,FUT_6_Emp_Tot,Age20_24, FALSE)/(HLOOKUP("Total",FUT_6_Emp_Tot,Age20_24, FALSE)-HLOOKUP("Not applicable",FUT_6_Emp_Tot,Age20_24, FALSE)),":")</f>
        <v>:</v>
      </c>
      <c r="J90" s="108" t="str">
        <f>IFERROR(HLOOKUP($A90,FUT_6_Emp_Men,Age20_24, FALSE)/(HLOOKUP("Total",FUT_6_Emp_Men,Age20_24, FALSE)-HLOOKUP("Not applicable",FUT_6_Emp_Men,Age20_24, FALSE)),":")</f>
        <v>:</v>
      </c>
      <c r="K90" s="109" t="str">
        <f>IFERROR(HLOOKUP($A90,FUT_6_Emp_Women,Age20_24, FALSE)/(HLOOKUP("Total",FUT_6_Emp_Women,Age20_24, FALSE)-HLOOKUP("Not applicable",FUT_6_Emp_Women,Age20_24, FALSE)),":")</f>
        <v>:</v>
      </c>
      <c r="L90" s="107" t="str">
        <f>IFERROR(HLOOKUP($A90,FUT_6_Emp_Tot,Age25_29, FALSE)/(HLOOKUP("Total",FUT_6_Emp_Tot,Age25_29, FALSE)-HLOOKUP("Not applicable",FUT_6_Emp_Tot,Age25_29, FALSE)),":")</f>
        <v>:</v>
      </c>
      <c r="M90" s="108" t="str">
        <f>IFERROR(HLOOKUP($A90,FUT_6_Emp_Men,Age25_29, FALSE)/(HLOOKUP("Total",FUT_6_Emp_Men,Age25_29, FALSE)-HLOOKUP("Not applicable",FUT_6_Emp_Men,Age25_29, FALSE)),":")</f>
        <v>:</v>
      </c>
      <c r="N90" s="109" t="str">
        <f>IFERROR(HLOOKUP($A90,FUT_6_Emp_Women,Age25_29, FALSE)/(HLOOKUP("Total",FUT_6_Emp_Women,Age25_29, FALSE)-HLOOKUP("Not applicable",FUT_6_Emp_Women,Age25_29, FALSE)),":")</f>
        <v>:</v>
      </c>
    </row>
    <row r="91" spans="1:14" ht="15.5" thickTop="1" thickBot="1" x14ac:dyDescent="0.4"/>
    <row r="92" spans="1:14" ht="15.75" customHeight="1" thickTop="1" x14ac:dyDescent="0.35">
      <c r="A92" s="361" t="s">
        <v>196</v>
      </c>
      <c r="B92" s="369"/>
      <c r="C92" s="365" t="s">
        <v>240</v>
      </c>
      <c r="D92" s="366"/>
      <c r="E92" s="367"/>
      <c r="F92" s="365" t="s">
        <v>11</v>
      </c>
      <c r="G92" s="366"/>
      <c r="H92" s="367"/>
      <c r="I92" s="368" t="s">
        <v>13</v>
      </c>
      <c r="J92" s="366"/>
      <c r="K92" s="367"/>
      <c r="L92" s="365" t="s">
        <v>239</v>
      </c>
      <c r="M92" s="366"/>
      <c r="N92" s="373"/>
    </row>
    <row r="93" spans="1:14" x14ac:dyDescent="0.35">
      <c r="A93" s="363"/>
      <c r="B93" s="370"/>
      <c r="C93" s="49" t="s">
        <v>3</v>
      </c>
      <c r="D93" s="47" t="s">
        <v>4</v>
      </c>
      <c r="E93" s="48" t="s">
        <v>5</v>
      </c>
      <c r="F93" s="49" t="s">
        <v>3</v>
      </c>
      <c r="G93" s="47" t="s">
        <v>4</v>
      </c>
      <c r="H93" s="48" t="s">
        <v>5</v>
      </c>
      <c r="I93" s="46" t="s">
        <v>3</v>
      </c>
      <c r="J93" s="47" t="s">
        <v>4</v>
      </c>
      <c r="K93" s="48" t="s">
        <v>5</v>
      </c>
      <c r="L93" s="49" t="s">
        <v>3</v>
      </c>
      <c r="M93" s="47" t="s">
        <v>4</v>
      </c>
      <c r="N93" s="204" t="s">
        <v>5</v>
      </c>
    </row>
    <row r="94" spans="1:14" x14ac:dyDescent="0.35">
      <c r="A94" s="99" t="s">
        <v>193</v>
      </c>
      <c r="B94" s="100"/>
      <c r="C94" s="101" t="str">
        <f t="shared" ref="C94:E94" si="30">IF(COUNT(C95:C98)&gt;0,SUM(C95:C98),":")</f>
        <v>:</v>
      </c>
      <c r="D94" s="102" t="str">
        <f t="shared" si="30"/>
        <v>:</v>
      </c>
      <c r="E94" s="103" t="str">
        <f t="shared" si="30"/>
        <v>:</v>
      </c>
      <c r="F94" s="101" t="str">
        <f t="shared" ref="F94:K94" si="31">IF(COUNT(F95:F98)&gt;0,SUM(F95:F98),":")</f>
        <v>:</v>
      </c>
      <c r="G94" s="102" t="str">
        <f t="shared" si="31"/>
        <v>:</v>
      </c>
      <c r="H94" s="103" t="str">
        <f t="shared" si="31"/>
        <v>:</v>
      </c>
      <c r="I94" s="101" t="str">
        <f t="shared" si="31"/>
        <v>:</v>
      </c>
      <c r="J94" s="102" t="str">
        <f t="shared" si="31"/>
        <v>:</v>
      </c>
      <c r="K94" s="103" t="str">
        <f t="shared" si="31"/>
        <v>:</v>
      </c>
      <c r="L94" s="101" t="str">
        <f t="shared" ref="L94:N94" si="32">IF(COUNT(L95:L98)&gt;0,SUM(L95:L98),":")</f>
        <v>:</v>
      </c>
      <c r="M94" s="102" t="str">
        <f t="shared" si="32"/>
        <v>:</v>
      </c>
      <c r="N94" s="103" t="str">
        <f t="shared" si="32"/>
        <v>:</v>
      </c>
    </row>
    <row r="95" spans="1:14" outlineLevel="1" x14ac:dyDescent="0.35">
      <c r="A95" s="50"/>
      <c r="B95" s="60" t="s">
        <v>15</v>
      </c>
      <c r="C95" s="52" t="str">
        <f>IFERROR(HLOOKUP($B95,FUT_12_Emp_Tot,Age15_29, FALSE)/(HLOOKUP("Total",FUT_12_Emp_Tot,Age15_29, FALSE)-HLOOKUP("Not applicable",FUT_12_Emp_Tot,Age15_29, FALSE)),":")</f>
        <v>:</v>
      </c>
      <c r="D95" s="53" t="str">
        <f>IFERROR(HLOOKUP($B95,FUT_12_Emp_Men,Age15_29, FALSE)/(HLOOKUP("Total",FUT_12_Emp_Men,Age15_29, FALSE)-HLOOKUP("Not applicable",FUT_12_Emp_Men,Age15_29, FALSE)),":")</f>
        <v>:</v>
      </c>
      <c r="E95" s="54" t="str">
        <f>IFERROR(HLOOKUP($B95,FUT_12_Emp_Women,Age15_29, FALSE)/(HLOOKUP("Total",FUT_12_Emp_Women,Age15_29, FALSE)-HLOOKUP("Not applicable",FUT_12_Emp_Women,Age15_29, FALSE)),":")</f>
        <v>:</v>
      </c>
      <c r="F95" s="52" t="str">
        <f>IFERROR(HLOOKUP($B95,FUT_12_Emp_Tot,Age15_19, FALSE)/(HLOOKUP("Total",FUT_12_Emp_Tot,Age15_19, FALSE)-HLOOKUP("Not applicable",FUT_12_Emp_Tot,Age15_19, FALSE)),":")</f>
        <v>:</v>
      </c>
      <c r="G95" s="53" t="str">
        <f>IFERROR(HLOOKUP($B95,FUT_12_Emp_Men,Age15_19, FALSE)/(HLOOKUP("Total",FUT_12_Emp_Men,Age15_19, FALSE)-HLOOKUP("Not applicable",FUT_12_Emp_Men,Age15_19, FALSE)),":")</f>
        <v>:</v>
      </c>
      <c r="H95" s="54" t="str">
        <f>IFERROR(HLOOKUP($B95,FUT_12_Emp_Women,Age15_19, FALSE)/(HLOOKUP("Total",FUT_12_Emp_Women,Age15_19, FALSE)-HLOOKUP("Not applicable",FUT_12_Emp_Women,Age15_19, FALSE)),":")</f>
        <v>:</v>
      </c>
      <c r="I95" s="52" t="str">
        <f>IFERROR(HLOOKUP($B95,FUT_12_Emp_Tot,Age20_24, FALSE)/(HLOOKUP("Total",FUT_12_Emp_Tot,Age20_24, FALSE)-HLOOKUP("Not applicable",FUT_12_Emp_Tot,Age20_24, FALSE)),":")</f>
        <v>:</v>
      </c>
      <c r="J95" s="53" t="str">
        <f>IFERROR(HLOOKUP($B95,FUT_12_Emp_Men,Age20_24, FALSE)/(HLOOKUP("Total",FUT_12_Emp_Men,Age20_24, FALSE)-HLOOKUP("Not applicable",FUT_12_Emp_Men,Age20_24, FALSE)),":")</f>
        <v>:</v>
      </c>
      <c r="K95" s="54" t="str">
        <f>IFERROR(HLOOKUP($B95,FUT_12_Emp_Women,Age20_24, FALSE)/(HLOOKUP("Total",FUT_12_Emp_Women,Age20_24, FALSE)-HLOOKUP("Not applicable",FUT_12_Emp_Women,Age20_24, FALSE)),":")</f>
        <v>:</v>
      </c>
      <c r="L95" s="52" t="str">
        <f>IFERROR(HLOOKUP($B95,FUT_12_Emp_Tot,Age25_29, FALSE)/(HLOOKUP("Total",FUT_12_Emp_Tot,Age25_29, FALSE)-HLOOKUP("Not applicable",FUT_12_Emp_Tot,Age25_29, FALSE)),":")</f>
        <v>:</v>
      </c>
      <c r="M95" s="53" t="str">
        <f>IFERROR(HLOOKUP($B95,FUT_12_Emp_Men,Age25_29, FALSE)/(HLOOKUP("Total",FUT_12_Emp_Men,Age25_29, FALSE)-HLOOKUP("Not applicable",FUT_12_Emp_Men,Age25_29, FALSE)),":")</f>
        <v>:</v>
      </c>
      <c r="N95" s="54" t="str">
        <f>IFERROR(HLOOKUP($B95,FUT_12_Emp_Women,Age25_29, FALSE)/(HLOOKUP("Total",FUT_12_Emp_Women,Age25_29, FALSE)-HLOOKUP("Not applicable",FUT_12_Emp_Women,Age25_29, FALSE)),":")</f>
        <v>:</v>
      </c>
    </row>
    <row r="96" spans="1:14" outlineLevel="1" x14ac:dyDescent="0.35">
      <c r="A96" s="50"/>
      <c r="B96" s="60" t="s">
        <v>16</v>
      </c>
      <c r="C96" s="52" t="str">
        <f>IFERROR(HLOOKUP($B96,FUT_12_Emp_Tot,Age15_29, FALSE)/(HLOOKUP("Total",FUT_12_Emp_Tot,Age15_29, FALSE)-HLOOKUP("Not applicable",FUT_12_Emp_Tot,Age15_29, FALSE)),":")</f>
        <v>:</v>
      </c>
      <c r="D96" s="53" t="str">
        <f>IFERROR(HLOOKUP($B96,FUT_12_Emp_Men,Age15_29, FALSE)/(HLOOKUP("Total",FUT_12_Emp_Men,Age15_29, FALSE)-HLOOKUP("Not applicable",FUT_12_Emp_Men,Age15_29, FALSE)),":")</f>
        <v>:</v>
      </c>
      <c r="E96" s="54" t="str">
        <f>IFERROR(HLOOKUP($B96,FUT_12_Emp_Women,Age15_29, FALSE)/(HLOOKUP("Total",FUT_12_Emp_Women,Age15_29, FALSE)-HLOOKUP("Not applicable",FUT_12_Emp_Women,Age15_29, FALSE)),":")</f>
        <v>:</v>
      </c>
      <c r="F96" s="52" t="str">
        <f>IFERROR(HLOOKUP($B96,FUT_12_Emp_Tot,Age15_19, FALSE)/(HLOOKUP("Total",FUT_12_Emp_Tot,Age15_19, FALSE)-HLOOKUP("Not applicable",FUT_12_Emp_Tot,Age15_19, FALSE)),":")</f>
        <v>:</v>
      </c>
      <c r="G96" s="53" t="str">
        <f>IFERROR(HLOOKUP($B96,FUT_12_Emp_Men,Age15_19, FALSE)/(HLOOKUP("Total",FUT_12_Emp_Men,Age15_19, FALSE)-HLOOKUP("Not applicable",FUT_12_Emp_Men,Age15_19, FALSE)),":")</f>
        <v>:</v>
      </c>
      <c r="H96" s="54" t="str">
        <f>IFERROR(HLOOKUP($B96,FUT_12_Emp_Women,Age15_19, FALSE)/(HLOOKUP("Total",FUT_12_Emp_Women,Age15_19, FALSE)-HLOOKUP("Not applicable",FUT_12_Emp_Women,Age15_19, FALSE)),":")</f>
        <v>:</v>
      </c>
      <c r="I96" s="52" t="str">
        <f>IFERROR(HLOOKUP($B96,FUT_12_Emp_Tot,Age20_24, FALSE)/(HLOOKUP("Total",FUT_12_Emp_Tot,Age20_24, FALSE)-HLOOKUP("Not applicable",FUT_12_Emp_Tot,Age20_24, FALSE)),":")</f>
        <v>:</v>
      </c>
      <c r="J96" s="53" t="str">
        <f>IFERROR(HLOOKUP($B96,FUT_12_Emp_Men,Age20_24, FALSE)/(HLOOKUP("Total",FUT_12_Emp_Men,Age20_24, FALSE)-HLOOKUP("Not applicable",FUT_12_Emp_Men,Age20_24, FALSE)),":")</f>
        <v>:</v>
      </c>
      <c r="K96" s="54" t="str">
        <f>IFERROR(HLOOKUP($B96,FUT_12_Emp_Women,Age20_24, FALSE)/(HLOOKUP("Total",FUT_12_Emp_Women,Age20_24, FALSE)-HLOOKUP("Not applicable",FUT_12_Emp_Women,Age20_24, FALSE)),":")</f>
        <v>:</v>
      </c>
      <c r="L96" s="52" t="str">
        <f>IFERROR(HLOOKUP($B96,FUT_12_Emp_Tot,Age25_29, FALSE)/(HLOOKUP("Total",FUT_12_Emp_Tot,Age25_29, FALSE)-HLOOKUP("Not applicable",FUT_12_Emp_Tot,Age25_29, FALSE)),":")</f>
        <v>:</v>
      </c>
      <c r="M96" s="53" t="str">
        <f>IFERROR(HLOOKUP($B96,FUT_12_Emp_Men,Age25_29, FALSE)/(HLOOKUP("Total",FUT_12_Emp_Men,Age25_29, FALSE)-HLOOKUP("Not applicable",FUT_12_Emp_Men,Age25_29, FALSE)),":")</f>
        <v>:</v>
      </c>
      <c r="N96" s="54" t="str">
        <f>IFERROR(HLOOKUP($B96,FUT_12_Emp_Women,Age25_29, FALSE)/(HLOOKUP("Total",FUT_12_Emp_Women,Age25_29, FALSE)-HLOOKUP("Not applicable",FUT_12_Emp_Women,Age25_29, FALSE)),":")</f>
        <v>:</v>
      </c>
    </row>
    <row r="97" spans="1:14" outlineLevel="1" x14ac:dyDescent="0.35">
      <c r="A97" s="50"/>
      <c r="B97" s="60" t="s">
        <v>17</v>
      </c>
      <c r="C97" s="52" t="str">
        <f>IFERROR(HLOOKUP($B97,FUT_12_Emp_Tot,Age15_29, FALSE)/(HLOOKUP("Total",FUT_12_Emp_Tot,Age15_29, FALSE)-HLOOKUP("Not applicable",FUT_12_Emp_Tot,Age15_29, FALSE)),":")</f>
        <v>:</v>
      </c>
      <c r="D97" s="53" t="str">
        <f>IFERROR(HLOOKUP($B97,FUT_12_Emp_Men,Age15_29, FALSE)/(HLOOKUP("Total",FUT_12_Emp_Men,Age15_29, FALSE)-HLOOKUP("Not applicable",FUT_12_Emp_Men,Age15_29, FALSE)),":")</f>
        <v>:</v>
      </c>
      <c r="E97" s="54" t="str">
        <f>IFERROR(HLOOKUP($B97,FUT_12_Emp_Women,Age15_29, FALSE)/(HLOOKUP("Total",FUT_12_Emp_Women,Age15_29, FALSE)-HLOOKUP("Not applicable",FUT_12_Emp_Women,Age15_29, FALSE)),":")</f>
        <v>:</v>
      </c>
      <c r="F97" s="52" t="str">
        <f>IFERROR(HLOOKUP($B97,FUT_12_Emp_Tot,Age15_19, FALSE)/(HLOOKUP("Total",FUT_12_Emp_Tot,Age15_19, FALSE)-HLOOKUP("Not applicable",FUT_12_Emp_Tot,Age15_19, FALSE)),":")</f>
        <v>:</v>
      </c>
      <c r="G97" s="53" t="str">
        <f>IFERROR(HLOOKUP($B97,FUT_12_Emp_Men,Age15_19, FALSE)/(HLOOKUP("Total",FUT_12_Emp_Men,Age15_19, FALSE)-HLOOKUP("Not applicable",FUT_12_Emp_Men,Age15_19, FALSE)),":")</f>
        <v>:</v>
      </c>
      <c r="H97" s="54" t="str">
        <f>IFERROR(HLOOKUP($B97,FUT_12_Emp_Women,Age15_19, FALSE)/(HLOOKUP("Total",FUT_12_Emp_Women,Age15_19, FALSE)-HLOOKUP("Not applicable",FUT_12_Emp_Women,Age15_19, FALSE)),":")</f>
        <v>:</v>
      </c>
      <c r="I97" s="52" t="str">
        <f>IFERROR(HLOOKUP($B97,FUT_12_Emp_Tot,Age20_24, FALSE)/(HLOOKUP("Total",FUT_12_Emp_Tot,Age20_24, FALSE)-HLOOKUP("Not applicable",FUT_12_Emp_Tot,Age20_24, FALSE)),":")</f>
        <v>:</v>
      </c>
      <c r="J97" s="53" t="str">
        <f>IFERROR(HLOOKUP($B97,FUT_12_Emp_Men,Age20_24, FALSE)/(HLOOKUP("Total",FUT_12_Emp_Men,Age20_24, FALSE)-HLOOKUP("Not applicable",FUT_12_Emp_Men,Age20_24, FALSE)),":")</f>
        <v>:</v>
      </c>
      <c r="K97" s="54" t="str">
        <f>IFERROR(HLOOKUP($B97,FUT_12_Emp_Women,Age20_24, FALSE)/(HLOOKUP("Total",FUT_12_Emp_Women,Age20_24, FALSE)-HLOOKUP("Not applicable",FUT_12_Emp_Women,Age20_24, FALSE)),":")</f>
        <v>:</v>
      </c>
      <c r="L97" s="52" t="str">
        <f>IFERROR(HLOOKUP($B97,FUT_12_Emp_Tot,Age25_29, FALSE)/(HLOOKUP("Total",FUT_12_Emp_Tot,Age25_29, FALSE)-HLOOKUP("Not applicable",FUT_12_Emp_Tot,Age25_29, FALSE)),":")</f>
        <v>:</v>
      </c>
      <c r="M97" s="53" t="str">
        <f>IFERROR(HLOOKUP($B97,FUT_12_Emp_Men,Age25_29, FALSE)/(HLOOKUP("Total",FUT_12_Emp_Men,Age25_29, FALSE)-HLOOKUP("Not applicable",FUT_12_Emp_Men,Age25_29, FALSE)),":")</f>
        <v>:</v>
      </c>
      <c r="N97" s="54" t="str">
        <f>IFERROR(HLOOKUP($B97,FUT_12_Emp_Women,Age25_29, FALSE)/(HLOOKUP("Total",FUT_12_Emp_Women,Age25_29, FALSE)-HLOOKUP("Not applicable",FUT_12_Emp_Women,Age25_29, FALSE)),":")</f>
        <v>:</v>
      </c>
    </row>
    <row r="98" spans="1:14" outlineLevel="1" x14ac:dyDescent="0.35">
      <c r="A98" s="50"/>
      <c r="B98" s="60" t="s">
        <v>18</v>
      </c>
      <c r="C98" s="52" t="str">
        <f>IFERROR(HLOOKUP($B98,FUT_12_Emp_Tot,Age15_29, FALSE)/(HLOOKUP("Total",FUT_12_Emp_Tot,Age15_29, FALSE)-HLOOKUP("Not applicable",FUT_12_Emp_Tot,Age15_29, FALSE)),":")</f>
        <v>:</v>
      </c>
      <c r="D98" s="53" t="str">
        <f>IFERROR(HLOOKUP($B98,FUT_12_Emp_Men,Age15_29, FALSE)/(HLOOKUP("Total",FUT_12_Emp_Men,Age15_29, FALSE)-HLOOKUP("Not applicable",FUT_12_Emp_Men,Age15_29, FALSE)),":")</f>
        <v>:</v>
      </c>
      <c r="E98" s="54" t="str">
        <f>IFERROR(HLOOKUP($B98,FUT_12_Emp_Women,Age15_29, FALSE)/(HLOOKUP("Total",FUT_12_Emp_Women,Age15_29, FALSE)-HLOOKUP("Not applicable",FUT_12_Emp_Women,Age15_29, FALSE)),":")</f>
        <v>:</v>
      </c>
      <c r="F98" s="52" t="str">
        <f>IFERROR(HLOOKUP($B98,FUT_12_Emp_Tot,Age15_19, FALSE)/(HLOOKUP("Total",FUT_12_Emp_Tot,Age15_19, FALSE)-HLOOKUP("Not applicable",FUT_12_Emp_Tot,Age15_19, FALSE)),":")</f>
        <v>:</v>
      </c>
      <c r="G98" s="53" t="str">
        <f>IFERROR(HLOOKUP($B98,FUT_12_Emp_Men,Age15_19, FALSE)/(HLOOKUP("Total",FUT_12_Emp_Men,Age15_19, FALSE)-HLOOKUP("Not applicable",FUT_12_Emp_Men,Age15_19, FALSE)),":")</f>
        <v>:</v>
      </c>
      <c r="H98" s="54" t="str">
        <f>IFERROR(HLOOKUP($B98,FUT_12_Emp_Women,Age15_19, FALSE)/(HLOOKUP("Total",FUT_12_Emp_Women,Age15_19, FALSE)-HLOOKUP("Not applicable",FUT_12_Emp_Women,Age15_19, FALSE)),":")</f>
        <v>:</v>
      </c>
      <c r="I98" s="52" t="str">
        <f>IFERROR(HLOOKUP($B98,FUT_12_Emp_Tot,Age20_24, FALSE)/(HLOOKUP("Total",FUT_12_Emp_Tot,Age20_24, FALSE)-HLOOKUP("Not applicable",FUT_12_Emp_Tot,Age20_24, FALSE)),":")</f>
        <v>:</v>
      </c>
      <c r="J98" s="53" t="str">
        <f>IFERROR(HLOOKUP($B98,FUT_12_Emp_Men,Age20_24, FALSE)/(HLOOKUP("Total",FUT_12_Emp_Men,Age20_24, FALSE)-HLOOKUP("Not applicable",FUT_12_Emp_Men,Age20_24, FALSE)),":")</f>
        <v>:</v>
      </c>
      <c r="K98" s="54" t="str">
        <f>IFERROR(HLOOKUP($B98,FUT_12_Emp_Women,Age20_24, FALSE)/(HLOOKUP("Total",FUT_12_Emp_Women,Age20_24, FALSE)-HLOOKUP("Not applicable",FUT_12_Emp_Women,Age20_24, FALSE)),":")</f>
        <v>:</v>
      </c>
      <c r="L98" s="52" t="str">
        <f>IFERROR(HLOOKUP($B98,FUT_12_Emp_Tot,Age25_29, FALSE)/(HLOOKUP("Total",FUT_12_Emp_Tot,Age25_29, FALSE)-HLOOKUP("Not applicable",FUT_12_Emp_Tot,Age25_29, FALSE)),":")</f>
        <v>:</v>
      </c>
      <c r="M98" s="53" t="str">
        <f>IFERROR(HLOOKUP($B98,FUT_12_Emp_Men,Age25_29, FALSE)/(HLOOKUP("Total",FUT_12_Emp_Men,Age25_29, FALSE)-HLOOKUP("Not applicable",FUT_12_Emp_Men,Age25_29, FALSE)),":")</f>
        <v>:</v>
      </c>
      <c r="N98" s="54" t="str">
        <f>IFERROR(HLOOKUP($B98,FUT_12_Emp_Women,Age25_29, FALSE)/(HLOOKUP("Total",FUT_12_Emp_Women,Age25_29, FALSE)-HLOOKUP("Not applicable",FUT_12_Emp_Women,Age25_29, FALSE)),":")</f>
        <v>:</v>
      </c>
    </row>
    <row r="99" spans="1:14" x14ac:dyDescent="0.35">
      <c r="A99" s="99" t="s">
        <v>194</v>
      </c>
      <c r="B99" s="104"/>
      <c r="C99" s="101" t="str">
        <f t="shared" ref="C99:E99" si="33">IF(COUNT(C100:C101)&gt;0,SUM(C100:C101),":")</f>
        <v>:</v>
      </c>
      <c r="D99" s="102" t="str">
        <f t="shared" si="33"/>
        <v>:</v>
      </c>
      <c r="E99" s="103" t="str">
        <f t="shared" si="33"/>
        <v>:</v>
      </c>
      <c r="F99" s="101" t="str">
        <f t="shared" ref="F99:K99" si="34">IF(COUNT(F100:F101)&gt;0,SUM(F100:F101),":")</f>
        <v>:</v>
      </c>
      <c r="G99" s="102" t="str">
        <f t="shared" si="34"/>
        <v>:</v>
      </c>
      <c r="H99" s="103" t="str">
        <f t="shared" si="34"/>
        <v>:</v>
      </c>
      <c r="I99" s="101" t="str">
        <f t="shared" si="34"/>
        <v>:</v>
      </c>
      <c r="J99" s="102" t="str">
        <f t="shared" si="34"/>
        <v>:</v>
      </c>
      <c r="K99" s="103" t="str">
        <f t="shared" si="34"/>
        <v>:</v>
      </c>
      <c r="L99" s="101" t="str">
        <f t="shared" ref="L99:N99" si="35">IF(COUNT(L100:L101)&gt;0,SUM(L100:L101),":")</f>
        <v>:</v>
      </c>
      <c r="M99" s="102" t="str">
        <f t="shared" si="35"/>
        <v>:</v>
      </c>
      <c r="N99" s="103" t="str">
        <f t="shared" si="35"/>
        <v>:</v>
      </c>
    </row>
    <row r="100" spans="1:14" outlineLevel="1" x14ac:dyDescent="0.35">
      <c r="A100" s="50"/>
      <c r="B100" s="60" t="s">
        <v>20</v>
      </c>
      <c r="C100" s="52" t="str">
        <f>IFERROR(HLOOKUP($B100,FUT_12_Emp_Tot,Age15_29, FALSE)/(HLOOKUP("Total",FUT_12_Emp_Tot,Age15_29, FALSE)-HLOOKUP("Not applicable",FUT_12_Emp_Tot,Age15_29, FALSE)),":")</f>
        <v>:</v>
      </c>
      <c r="D100" s="53" t="str">
        <f>IFERROR(HLOOKUP($B100,FUT_12_Emp_Men,Age15_29, FALSE)/(HLOOKUP("Total",FUT_12_Emp_Men,Age15_29, FALSE)-HLOOKUP("Not applicable",FUT_12_Emp_Men,Age15_29, FALSE)),":")</f>
        <v>:</v>
      </c>
      <c r="E100" s="54" t="str">
        <f>IFERROR(HLOOKUP($B100,FUT_12_Emp_Women,Age15_29, FALSE)/(HLOOKUP("Total",FUT_12_Emp_Women,Age15_29, FALSE)-HLOOKUP("Not applicable",FUT_12_Emp_Women,Age15_29, FALSE)),":")</f>
        <v>:</v>
      </c>
      <c r="F100" s="52" t="str">
        <f>IFERROR(HLOOKUP($B100,FUT_12_Emp_Tot,Age15_19, FALSE)/(HLOOKUP("Total",FUT_12_Emp_Tot,Age15_19, FALSE)-HLOOKUP("Not applicable",FUT_12_Emp_Tot,Age15_19, FALSE)),":")</f>
        <v>:</v>
      </c>
      <c r="G100" s="53" t="str">
        <f>IFERROR(HLOOKUP($B100,FUT_12_Emp_Men,Age15_19, FALSE)/(HLOOKUP("Total",FUT_12_Emp_Men,Age15_19, FALSE)-HLOOKUP("Not applicable",FUT_12_Emp_Men,Age15_19, FALSE)),":")</f>
        <v>:</v>
      </c>
      <c r="H100" s="54" t="str">
        <f>IFERROR(HLOOKUP($B100,FUT_12_Emp_Women,Age15_19, FALSE)/(HLOOKUP("Total",FUT_12_Emp_Women,Age15_19, FALSE)-HLOOKUP("Not applicable",FUT_12_Emp_Women,Age15_19, FALSE)),":")</f>
        <v>:</v>
      </c>
      <c r="I100" s="52" t="str">
        <f>IFERROR(HLOOKUP($B100,FUT_12_Emp_Tot,Age20_24, FALSE)/(HLOOKUP("Total",FUT_12_Emp_Tot,Age20_24, FALSE)-HLOOKUP("Not applicable",FUT_12_Emp_Tot,Age20_24, FALSE)),":")</f>
        <v>:</v>
      </c>
      <c r="J100" s="53" t="str">
        <f>IFERROR(HLOOKUP($B100,FUT_12_Emp_Men,Age20_24, FALSE)/(HLOOKUP("Total",FUT_12_Emp_Men,Age20_24, FALSE)-HLOOKUP("Not applicable",FUT_12_Emp_Men,Age20_24, FALSE)),":")</f>
        <v>:</v>
      </c>
      <c r="K100" s="54" t="str">
        <f>IFERROR(HLOOKUP($B100,FUT_12_Emp_Women,Age20_24, FALSE)/(HLOOKUP("Total",FUT_12_Emp_Women,Age20_24, FALSE)-HLOOKUP("Not applicable",FUT_12_Emp_Women,Age20_24, FALSE)),":")</f>
        <v>:</v>
      </c>
      <c r="L100" s="52" t="str">
        <f>IFERROR(HLOOKUP($B100,FUT_12_Emp_Tot,Age25_29, FALSE)/(HLOOKUP("Total",FUT_12_Emp_Tot,Age25_29, FALSE)-HLOOKUP("Not applicable",FUT_12_Emp_Tot,Age25_29, FALSE)),":")</f>
        <v>:</v>
      </c>
      <c r="M100" s="53" t="str">
        <f>IFERROR(HLOOKUP($B100,FUT_12_Emp_Men,Age25_29, FALSE)/(HLOOKUP("Total",FUT_12_Emp_Men,Age25_29, FALSE)-HLOOKUP("Not applicable",FUT_12_Emp_Men,Age25_29, FALSE)),":")</f>
        <v>:</v>
      </c>
      <c r="N100" s="54" t="str">
        <f>IFERROR(HLOOKUP($B100,FUT_12_Emp_Women,Age25_29, FALSE)/(HLOOKUP("Total",FUT_12_Emp_Women,Age25_29, FALSE)-HLOOKUP("Not applicable",FUT_12_Emp_Women,Age25_29, FALSE)),":")</f>
        <v>:</v>
      </c>
    </row>
    <row r="101" spans="1:14" outlineLevel="1" x14ac:dyDescent="0.35">
      <c r="A101" s="50"/>
      <c r="B101" s="60" t="s">
        <v>100</v>
      </c>
      <c r="C101" s="52" t="str">
        <f>IFERROR(HLOOKUP($B101,FUT_12_Emp_Tot,Age15_29, FALSE)/(HLOOKUP("Total",FUT_12_Emp_Tot,Age15_29, FALSE)-HLOOKUP("Not applicable",FUT_12_Emp_Tot,Age15_29, FALSE)),":")</f>
        <v>:</v>
      </c>
      <c r="D101" s="53" t="str">
        <f>IFERROR(HLOOKUP($B101,FUT_12_Emp_Men,Age15_29, FALSE)/(HLOOKUP("Total",FUT_12_Emp_Men,Age15_29, FALSE)-HLOOKUP("Not applicable",FUT_12_Emp_Men,Age15_29, FALSE)),":")</f>
        <v>:</v>
      </c>
      <c r="E101" s="54" t="str">
        <f>IFERROR(HLOOKUP($B101,FUT_12_Emp_Women,Age15_29, FALSE)/(HLOOKUP("Total",FUT_12_Emp_Women,Age15_29, FALSE)-HLOOKUP("Not applicable",FUT_12_Emp_Women,Age15_29, FALSE)),":")</f>
        <v>:</v>
      </c>
      <c r="F101" s="52" t="str">
        <f>IFERROR(HLOOKUP($B101,FUT_12_Emp_Tot,Age15_19, FALSE)/(HLOOKUP("Total",FUT_12_Emp_Tot,Age15_19, FALSE)-HLOOKUP("Not applicable",FUT_12_Emp_Tot,Age15_19, FALSE)),":")</f>
        <v>:</v>
      </c>
      <c r="G101" s="53" t="str">
        <f>IFERROR(HLOOKUP($B101,FUT_12_Emp_Men,Age15_19, FALSE)/(HLOOKUP("Total",FUT_12_Emp_Men,Age15_19, FALSE)-HLOOKUP("Not applicable",FUT_12_Emp_Men,Age15_19, FALSE)),":")</f>
        <v>:</v>
      </c>
      <c r="H101" s="54" t="str">
        <f>IFERROR(HLOOKUP($B101,FUT_12_Emp_Women,Age15_19, FALSE)/(HLOOKUP("Total",FUT_12_Emp_Women,Age15_19, FALSE)-HLOOKUP("Not applicable",FUT_12_Emp_Women,Age15_19, FALSE)),":")</f>
        <v>:</v>
      </c>
      <c r="I101" s="52" t="str">
        <f>IFERROR(HLOOKUP($B101,FUT_12_Emp_Tot,Age20_24, FALSE)/(HLOOKUP("Total",FUT_12_Emp_Tot,Age20_24, FALSE)-HLOOKUP("Not applicable",FUT_12_Emp_Tot,Age20_24, FALSE)),":")</f>
        <v>:</v>
      </c>
      <c r="J101" s="53" t="str">
        <f>IFERROR(HLOOKUP($B101,FUT_12_Emp_Men,Age20_24, FALSE)/(HLOOKUP("Total",FUT_12_Emp_Men,Age20_24, FALSE)-HLOOKUP("Not applicable",FUT_12_Emp_Men,Age20_24, FALSE)),":")</f>
        <v>:</v>
      </c>
      <c r="K101" s="54" t="str">
        <f>IFERROR(HLOOKUP($B101,FUT_12_Emp_Women,Age20_24, FALSE)/(HLOOKUP("Total",FUT_12_Emp_Women,Age20_24, FALSE)-HLOOKUP("Not applicable",FUT_12_Emp_Women,Age20_24, FALSE)),":")</f>
        <v>:</v>
      </c>
      <c r="L101" s="52" t="str">
        <f>IFERROR(HLOOKUP($B101,FUT_12_Emp_Tot,Age25_29, FALSE)/(HLOOKUP("Total",FUT_12_Emp_Tot,Age25_29, FALSE)-HLOOKUP("Not applicable",FUT_12_Emp_Tot,Age25_29, FALSE)),":")</f>
        <v>:</v>
      </c>
      <c r="M101" s="53" t="str">
        <f>IFERROR(HLOOKUP($B101,FUT_12_Emp_Men,Age25_29, FALSE)/(HLOOKUP("Total",FUT_12_Emp_Men,Age25_29, FALSE)-HLOOKUP("Not applicable",FUT_12_Emp_Men,Age25_29, FALSE)),":")</f>
        <v>:</v>
      </c>
      <c r="N101" s="54" t="str">
        <f>IFERROR(HLOOKUP($B101,FUT_12_Emp_Women,Age25_29, FALSE)/(HLOOKUP("Total",FUT_12_Emp_Women,Age25_29, FALSE)-HLOOKUP("Not applicable",FUT_12_Emp_Women,Age25_29, FALSE)),":")</f>
        <v>:</v>
      </c>
    </row>
    <row r="102" spans="1:14" ht="15" thickBot="1" x14ac:dyDescent="0.4">
      <c r="A102" s="105" t="s">
        <v>21</v>
      </c>
      <c r="B102" s="106"/>
      <c r="C102" s="107" t="str">
        <f>IFERROR(HLOOKUP($A102,FUT_12_Emp_Tot,Age15_29, FALSE)/(HLOOKUP("Total",FUT_12_Emp_Tot,Age15_29, FALSE)-HLOOKUP("Not applicable",FUT_12_Emp_Tot,Age15_29, FALSE)),":")</f>
        <v>:</v>
      </c>
      <c r="D102" s="108" t="str">
        <f>IFERROR(HLOOKUP($A102,FUT_12_Emp_Men,Age15_29, FALSE)/(HLOOKUP("Total",FUT_12_Emp_Men,Age15_29, FALSE)-HLOOKUP("Not applicable",FUT_12_Emp_Men,Age15_29, FALSE)),":")</f>
        <v>:</v>
      </c>
      <c r="E102" s="109" t="str">
        <f>IFERROR(HLOOKUP($A102,FUT_12_Emp_Women,Age15_29, FALSE)/(HLOOKUP("Total",FUT_12_Emp_Women,Age15_29, FALSE)-HLOOKUP("Not applicable",FUT_12_Emp_Women,Age15_29, FALSE)),":")</f>
        <v>:</v>
      </c>
      <c r="F102" s="107" t="str">
        <f>IFERROR(HLOOKUP($A102,FUT_12_Emp_Tot,Age15_19, FALSE)/(HLOOKUP("Total",FUT_12_Emp_Tot,Age15_19, FALSE)-HLOOKUP("Not applicable",FUT_12_Emp_Tot,Age15_19, FALSE)),":")</f>
        <v>:</v>
      </c>
      <c r="G102" s="108" t="str">
        <f>IFERROR(HLOOKUP($A102,FUT_12_Emp_Men,Age15_19, FALSE)/(HLOOKUP("Total",FUT_12_Emp_Men,Age15_19, FALSE)-HLOOKUP("Not applicable",FUT_12_Emp_Men,Age15_19, FALSE)),":")</f>
        <v>:</v>
      </c>
      <c r="H102" s="109" t="str">
        <f>IFERROR(HLOOKUP($A102,FUT_12_Emp_Women,Age15_19, FALSE)/(HLOOKUP("Total",FUT_12_Emp_Women,Age15_19, FALSE)-HLOOKUP("Not applicable",FUT_12_Emp_Women,Age15_19, FALSE)),":")</f>
        <v>:</v>
      </c>
      <c r="I102" s="107" t="str">
        <f>IFERROR(HLOOKUP($A102,FUT_12_Emp_Tot,Age20_24, FALSE)/(HLOOKUP("Total",FUT_12_Emp_Tot,Age20_24, FALSE)-HLOOKUP("Not applicable",FUT_12_Emp_Tot,Age20_24, FALSE)),":")</f>
        <v>:</v>
      </c>
      <c r="J102" s="108" t="str">
        <f>IFERROR(HLOOKUP($A102,FUT_12_Emp_Men,Age20_24, FALSE)/(HLOOKUP("Total",FUT_12_Emp_Men,Age20_24, FALSE)-HLOOKUP("Not applicable",FUT_12_Emp_Men,Age20_24, FALSE)),":")</f>
        <v>:</v>
      </c>
      <c r="K102" s="109" t="str">
        <f>IFERROR(HLOOKUP($A102,FUT_12_Emp_Women,Age20_24, FALSE)/(HLOOKUP("Total",FUT_12_Emp_Women,Age20_24, FALSE)-HLOOKUP("Not applicable",FUT_12_Emp_Women,Age20_24, FALSE)),":")</f>
        <v>:</v>
      </c>
      <c r="L102" s="107" t="str">
        <f>IFERROR(HLOOKUP($A102,FUT_12_Emp_Tot,Age25_29, FALSE)/(HLOOKUP("Total",FUT_12_Emp_Tot,Age25_29, FALSE)-HLOOKUP("Not applicable",FUT_12_Emp_Tot,Age25_29, FALSE)),":")</f>
        <v>:</v>
      </c>
      <c r="M102" s="108" t="str">
        <f>IFERROR(HLOOKUP($A102,FUT_12_Emp_Men,Age25_29, FALSE)/(HLOOKUP("Total",FUT_12_Emp_Men,Age25_29, FALSE)-HLOOKUP("Not applicable",FUT_12_Emp_Men,Age25_29, FALSE)),":")</f>
        <v>:</v>
      </c>
      <c r="N102" s="109" t="str">
        <f>IFERROR(HLOOKUP($A102,FUT_12_Emp_Women,Age25_29, FALSE)/(HLOOKUP("Total",FUT_12_Emp_Women,Age25_29, FALSE)-HLOOKUP("Not applicable",FUT_12_Emp_Women,Age25_29, FALSE)),":")</f>
        <v>:</v>
      </c>
    </row>
    <row r="103" spans="1:14" ht="15.5" thickTop="1" thickBot="1" x14ac:dyDescent="0.4"/>
    <row r="104" spans="1:14" ht="15.75" customHeight="1" thickTop="1" x14ac:dyDescent="0.35">
      <c r="A104" s="361" t="s">
        <v>197</v>
      </c>
      <c r="B104" s="369"/>
      <c r="C104" s="365" t="s">
        <v>240</v>
      </c>
      <c r="D104" s="366"/>
      <c r="E104" s="367"/>
      <c r="F104" s="365" t="s">
        <v>11</v>
      </c>
      <c r="G104" s="366"/>
      <c r="H104" s="367"/>
      <c r="I104" s="368" t="s">
        <v>13</v>
      </c>
      <c r="J104" s="366"/>
      <c r="K104" s="367"/>
      <c r="L104" s="365" t="s">
        <v>239</v>
      </c>
      <c r="M104" s="366"/>
      <c r="N104" s="373"/>
    </row>
    <row r="105" spans="1:14" x14ac:dyDescent="0.35">
      <c r="A105" s="363"/>
      <c r="B105" s="370"/>
      <c r="C105" s="49" t="s">
        <v>3</v>
      </c>
      <c r="D105" s="47" t="s">
        <v>4</v>
      </c>
      <c r="E105" s="48" t="s">
        <v>5</v>
      </c>
      <c r="F105" s="49" t="s">
        <v>3</v>
      </c>
      <c r="G105" s="47" t="s">
        <v>4</v>
      </c>
      <c r="H105" s="48" t="s">
        <v>5</v>
      </c>
      <c r="I105" s="46" t="s">
        <v>3</v>
      </c>
      <c r="J105" s="47" t="s">
        <v>4</v>
      </c>
      <c r="K105" s="48" t="s">
        <v>5</v>
      </c>
      <c r="L105" s="49" t="s">
        <v>3</v>
      </c>
      <c r="M105" s="47" t="s">
        <v>4</v>
      </c>
      <c r="N105" s="204" t="s">
        <v>5</v>
      </c>
    </row>
    <row r="106" spans="1:14" x14ac:dyDescent="0.35">
      <c r="A106" s="99" t="s">
        <v>193</v>
      </c>
      <c r="B106" s="100"/>
      <c r="C106" s="101" t="str">
        <f t="shared" ref="C106:E106" si="36">IF(COUNT(C107:C110)&gt;0,SUM(C107:C110),":")</f>
        <v>:</v>
      </c>
      <c r="D106" s="102" t="str">
        <f t="shared" si="36"/>
        <v>:</v>
      </c>
      <c r="E106" s="103" t="str">
        <f t="shared" si="36"/>
        <v>:</v>
      </c>
      <c r="F106" s="101" t="str">
        <f t="shared" ref="F106:K106" si="37">IF(COUNT(F107:F110)&gt;0,SUM(F107:F110),":")</f>
        <v>:</v>
      </c>
      <c r="G106" s="102" t="str">
        <f t="shared" si="37"/>
        <v>:</v>
      </c>
      <c r="H106" s="103" t="str">
        <f t="shared" si="37"/>
        <v>:</v>
      </c>
      <c r="I106" s="101" t="str">
        <f t="shared" si="37"/>
        <v>:</v>
      </c>
      <c r="J106" s="102" t="str">
        <f t="shared" si="37"/>
        <v>:</v>
      </c>
      <c r="K106" s="103" t="str">
        <f t="shared" si="37"/>
        <v>:</v>
      </c>
      <c r="L106" s="101" t="str">
        <f t="shared" ref="L106:N106" si="38">IF(COUNT(L107:L110)&gt;0,SUM(L107:L110),":")</f>
        <v>:</v>
      </c>
      <c r="M106" s="102" t="str">
        <f t="shared" si="38"/>
        <v>:</v>
      </c>
      <c r="N106" s="103" t="str">
        <f t="shared" si="38"/>
        <v>:</v>
      </c>
    </row>
    <row r="107" spans="1:14" outlineLevel="1" x14ac:dyDescent="0.35">
      <c r="A107" s="50"/>
      <c r="B107" s="60" t="s">
        <v>15</v>
      </c>
      <c r="C107" s="52" t="str">
        <f>IFERROR(HLOOKUP($B107,FUT_18_Emp_Tot,Age15_29, FALSE)/(HLOOKUP("Total",FUT_18_Emp_Tot,Age15_29, FALSE)-HLOOKUP("Not applicable",FUT_18_Emp_Tot,Age15_29, FALSE)),":")</f>
        <v>:</v>
      </c>
      <c r="D107" s="53" t="str">
        <f>IFERROR(HLOOKUP($B107,FUT_18_Emp_Men,Age15_29, FALSE)/(HLOOKUP("Total",FUT_18_Emp_Men,Age15_29, FALSE)-HLOOKUP("Not applicable",FUT_18_Emp_Men,Age15_29, FALSE)),":")</f>
        <v>:</v>
      </c>
      <c r="E107" s="54" t="str">
        <f>IFERROR(HLOOKUP($B107,FUT_18_Emp_Women,Age15_29, FALSE)/(HLOOKUP("Total",FUT_18_Emp_Women,Age15_29, FALSE)-HLOOKUP("Not applicable",FUT_18_Emp_Women,Age15_29, FALSE)),":")</f>
        <v>:</v>
      </c>
      <c r="F107" s="52" t="str">
        <f>IFERROR(HLOOKUP($B107,FUT_18_Emp_Tot,Age15_19, FALSE)/(HLOOKUP("Total",FUT_18_Emp_Tot,Age15_19, FALSE)-HLOOKUP("Not applicable",FUT_18_Emp_Tot,Age15_19, FALSE)),":")</f>
        <v>:</v>
      </c>
      <c r="G107" s="53" t="str">
        <f>IFERROR(HLOOKUP($B107,FUT_18_Emp_Men,Age15_19, FALSE)/(HLOOKUP("Total",FUT_18_Emp_Men,Age15_19, FALSE)-HLOOKUP("Not applicable",FUT_18_Emp_Men,Age15_19, FALSE)),":")</f>
        <v>:</v>
      </c>
      <c r="H107" s="54" t="str">
        <f>IFERROR(HLOOKUP($B107,FUT_18_Emp_Women,Age15_19, FALSE)/(HLOOKUP("Total",FUT_18_Emp_Women,Age15_19, FALSE)-HLOOKUP("Not applicable",FUT_18_Emp_Women,Age15_19, FALSE)),":")</f>
        <v>:</v>
      </c>
      <c r="I107" s="52" t="str">
        <f>IFERROR(HLOOKUP($B107,FUT_18_Emp_Tot,Age20_24, FALSE)/(HLOOKUP("Total",FUT_18_Emp_Tot,Age20_24, FALSE)-HLOOKUP("Not applicable",FUT_18_Emp_Tot,Age20_24, FALSE)),":")</f>
        <v>:</v>
      </c>
      <c r="J107" s="53" t="str">
        <f>IFERROR(HLOOKUP($B107,FUT_18_Emp_Men,Age20_24, FALSE)/(HLOOKUP("Total",FUT_18_Emp_Men,Age20_24, FALSE)-HLOOKUP("Not applicable",FUT_18_Emp_Men,Age20_24, FALSE)),":")</f>
        <v>:</v>
      </c>
      <c r="K107" s="54" t="str">
        <f>IFERROR(HLOOKUP($B107,FUT_18_Emp_Women,Age20_24, FALSE)/(HLOOKUP("Total",FUT_18_Emp_Women,Age20_24, FALSE)-HLOOKUP("Not applicable",FUT_18_Emp_Women,Age20_24, FALSE)),":")</f>
        <v>:</v>
      </c>
      <c r="L107" s="52" t="str">
        <f>IFERROR(HLOOKUP($B107,FUT_18_Emp_Tot,Age25_29, FALSE)/(HLOOKUP("Total",FUT_18_Emp_Tot,Age25_29, FALSE)-HLOOKUP("Not applicable",FUT_18_Emp_Tot,Age25_29, FALSE)),":")</f>
        <v>:</v>
      </c>
      <c r="M107" s="53" t="str">
        <f>IFERROR(HLOOKUP($B107,FUT_18_Emp_Men,Age25_29, FALSE)/(HLOOKUP("Total",FUT_18_Emp_Men,Age25_29, FALSE)-HLOOKUP("Not applicable",FUT_18_Emp_Men,Age25_29, FALSE)),":")</f>
        <v>:</v>
      </c>
      <c r="N107" s="54" t="str">
        <f>IFERROR(HLOOKUP($B107,FUT_18_Emp_Women,Age25_29, FALSE)/(HLOOKUP("Total",FUT_18_Emp_Women,Age25_29, FALSE)-HLOOKUP("Not applicable",FUT_18_Emp_Women,Age25_29, FALSE)),":")</f>
        <v>:</v>
      </c>
    </row>
    <row r="108" spans="1:14" outlineLevel="1" x14ac:dyDescent="0.35">
      <c r="A108" s="50"/>
      <c r="B108" s="60" t="s">
        <v>16</v>
      </c>
      <c r="C108" s="52" t="str">
        <f>IFERROR(HLOOKUP($B108,FUT_18_Emp_Tot,Age15_29, FALSE)/(HLOOKUP("Total",FUT_18_Emp_Tot,Age15_29, FALSE)-HLOOKUP("Not applicable",FUT_18_Emp_Tot,Age15_29, FALSE)),":")</f>
        <v>:</v>
      </c>
      <c r="D108" s="53" t="str">
        <f>IFERROR(HLOOKUP($B108,FUT_18_Emp_Men,Age15_29, FALSE)/(HLOOKUP("Total",FUT_18_Emp_Men,Age15_29, FALSE)-HLOOKUP("Not applicable",FUT_18_Emp_Men,Age15_29, FALSE)),":")</f>
        <v>:</v>
      </c>
      <c r="E108" s="54" t="str">
        <f>IFERROR(HLOOKUP($B108,FUT_18_Emp_Women,Age15_29, FALSE)/(HLOOKUP("Total",FUT_18_Emp_Women,Age15_29, FALSE)-HLOOKUP("Not applicable",FUT_18_Emp_Women,Age15_29, FALSE)),":")</f>
        <v>:</v>
      </c>
      <c r="F108" s="52" t="str">
        <f>IFERROR(HLOOKUP($B108,FUT_18_Emp_Tot,Age15_19, FALSE)/(HLOOKUP("Total",FUT_18_Emp_Tot,Age15_19, FALSE)-HLOOKUP("Not applicable",FUT_18_Emp_Tot,Age15_19, FALSE)),":")</f>
        <v>:</v>
      </c>
      <c r="G108" s="53" t="str">
        <f>IFERROR(HLOOKUP($B108,FUT_18_Emp_Men,Age15_19, FALSE)/(HLOOKUP("Total",FUT_18_Emp_Men,Age15_19, FALSE)-HLOOKUP("Not applicable",FUT_18_Emp_Men,Age15_19, FALSE)),":")</f>
        <v>:</v>
      </c>
      <c r="H108" s="54" t="str">
        <f>IFERROR(HLOOKUP($B108,FUT_18_Emp_Women,Age15_19, FALSE)/(HLOOKUP("Total",FUT_18_Emp_Women,Age15_19, FALSE)-HLOOKUP("Not applicable",FUT_18_Emp_Women,Age15_19, FALSE)),":")</f>
        <v>:</v>
      </c>
      <c r="I108" s="52" t="str">
        <f>IFERROR(HLOOKUP($B108,FUT_18_Emp_Tot,Age20_24, FALSE)/(HLOOKUP("Total",FUT_18_Emp_Tot,Age20_24, FALSE)-HLOOKUP("Not applicable",FUT_18_Emp_Tot,Age20_24, FALSE)),":")</f>
        <v>:</v>
      </c>
      <c r="J108" s="53" t="str">
        <f>IFERROR(HLOOKUP($B108,FUT_18_Emp_Men,Age20_24, FALSE)/(HLOOKUP("Total",FUT_18_Emp_Men,Age20_24, FALSE)-HLOOKUP("Not applicable",FUT_18_Emp_Men,Age20_24, FALSE)),":")</f>
        <v>:</v>
      </c>
      <c r="K108" s="54" t="str">
        <f>IFERROR(HLOOKUP($B108,FUT_18_Emp_Women,Age20_24, FALSE)/(HLOOKUP("Total",FUT_18_Emp_Women,Age20_24, FALSE)-HLOOKUP("Not applicable",FUT_18_Emp_Women,Age20_24, FALSE)),":")</f>
        <v>:</v>
      </c>
      <c r="L108" s="52" t="str">
        <f>IFERROR(HLOOKUP($B108,FUT_18_Emp_Tot,Age25_29, FALSE)/(HLOOKUP("Total",FUT_18_Emp_Tot,Age25_29, FALSE)-HLOOKUP("Not applicable",FUT_18_Emp_Tot,Age25_29, FALSE)),":")</f>
        <v>:</v>
      </c>
      <c r="M108" s="53" t="str">
        <f>IFERROR(HLOOKUP($B108,FUT_18_Emp_Men,Age25_29, FALSE)/(HLOOKUP("Total",FUT_18_Emp_Men,Age25_29, FALSE)-HLOOKUP("Not applicable",FUT_18_Emp_Men,Age25_29, FALSE)),":")</f>
        <v>:</v>
      </c>
      <c r="N108" s="54" t="str">
        <f>IFERROR(HLOOKUP($B108,FUT_18_Emp_Women,Age25_29, FALSE)/(HLOOKUP("Total",FUT_18_Emp_Women,Age25_29, FALSE)-HLOOKUP("Not applicable",FUT_18_Emp_Women,Age25_29, FALSE)),":")</f>
        <v>:</v>
      </c>
    </row>
    <row r="109" spans="1:14" outlineLevel="1" x14ac:dyDescent="0.35">
      <c r="A109" s="50"/>
      <c r="B109" s="60" t="s">
        <v>17</v>
      </c>
      <c r="C109" s="52" t="str">
        <f>IFERROR(HLOOKUP($B109,FUT_18_Emp_Tot,Age15_29, FALSE)/(HLOOKUP("Total",FUT_18_Emp_Tot,Age15_29, FALSE)-HLOOKUP("Not applicable",FUT_18_Emp_Tot,Age15_29, FALSE)),":")</f>
        <v>:</v>
      </c>
      <c r="D109" s="53" t="str">
        <f>IFERROR(HLOOKUP($B109,FUT_18_Emp_Men,Age15_29, FALSE)/(HLOOKUP("Total",FUT_18_Emp_Men,Age15_29, FALSE)-HLOOKUP("Not applicable",FUT_18_Emp_Men,Age15_29, FALSE)),":")</f>
        <v>:</v>
      </c>
      <c r="E109" s="54" t="str">
        <f>IFERROR(HLOOKUP($B109,FUT_18_Emp_Women,Age15_29, FALSE)/(HLOOKUP("Total",FUT_18_Emp_Women,Age15_29, FALSE)-HLOOKUP("Not applicable",FUT_18_Emp_Women,Age15_29, FALSE)),":")</f>
        <v>:</v>
      </c>
      <c r="F109" s="52" t="str">
        <f>IFERROR(HLOOKUP($B109,FUT_18_Emp_Tot,Age15_19, FALSE)/(HLOOKUP("Total",FUT_18_Emp_Tot,Age15_19, FALSE)-HLOOKUP("Not applicable",FUT_18_Emp_Tot,Age15_19, FALSE)),":")</f>
        <v>:</v>
      </c>
      <c r="G109" s="53" t="str">
        <f>IFERROR(HLOOKUP($B109,FUT_18_Emp_Men,Age15_19, FALSE)/(HLOOKUP("Total",FUT_18_Emp_Men,Age15_19, FALSE)-HLOOKUP("Not applicable",FUT_18_Emp_Men,Age15_19, FALSE)),":")</f>
        <v>:</v>
      </c>
      <c r="H109" s="54" t="str">
        <f>IFERROR(HLOOKUP($B109,FUT_18_Emp_Women,Age15_19, FALSE)/(HLOOKUP("Total",FUT_18_Emp_Women,Age15_19, FALSE)-HLOOKUP("Not applicable",FUT_18_Emp_Women,Age15_19, FALSE)),":")</f>
        <v>:</v>
      </c>
      <c r="I109" s="52" t="str">
        <f>IFERROR(HLOOKUP($B109,FUT_18_Emp_Tot,Age20_24, FALSE)/(HLOOKUP("Total",FUT_18_Emp_Tot,Age20_24, FALSE)-HLOOKUP("Not applicable",FUT_18_Emp_Tot,Age20_24, FALSE)),":")</f>
        <v>:</v>
      </c>
      <c r="J109" s="53" t="str">
        <f>IFERROR(HLOOKUP($B109,FUT_18_Emp_Men,Age20_24, FALSE)/(HLOOKUP("Total",FUT_18_Emp_Men,Age20_24, FALSE)-HLOOKUP("Not applicable",FUT_18_Emp_Men,Age20_24, FALSE)),":")</f>
        <v>:</v>
      </c>
      <c r="K109" s="54" t="str">
        <f>IFERROR(HLOOKUP($B109,FUT_18_Emp_Women,Age20_24, FALSE)/(HLOOKUP("Total",FUT_18_Emp_Women,Age20_24, FALSE)-HLOOKUP("Not applicable",FUT_18_Emp_Women,Age20_24, FALSE)),":")</f>
        <v>:</v>
      </c>
      <c r="L109" s="52" t="str">
        <f>IFERROR(HLOOKUP($B109,FUT_18_Emp_Tot,Age25_29, FALSE)/(HLOOKUP("Total",FUT_18_Emp_Tot,Age25_29, FALSE)-HLOOKUP("Not applicable",FUT_18_Emp_Tot,Age25_29, FALSE)),":")</f>
        <v>:</v>
      </c>
      <c r="M109" s="53" t="str">
        <f>IFERROR(HLOOKUP($B109,FUT_18_Emp_Men,Age25_29, FALSE)/(HLOOKUP("Total",FUT_18_Emp_Men,Age25_29, FALSE)-HLOOKUP("Not applicable",FUT_18_Emp_Men,Age25_29, FALSE)),":")</f>
        <v>:</v>
      </c>
      <c r="N109" s="54" t="str">
        <f>IFERROR(HLOOKUP($B109,FUT_18_Emp_Women,Age25_29, FALSE)/(HLOOKUP("Total",FUT_18_Emp_Women,Age25_29, FALSE)-HLOOKUP("Not applicable",FUT_18_Emp_Women,Age25_29, FALSE)),":")</f>
        <v>:</v>
      </c>
    </row>
    <row r="110" spans="1:14" outlineLevel="1" x14ac:dyDescent="0.35">
      <c r="A110" s="50"/>
      <c r="B110" s="60" t="s">
        <v>18</v>
      </c>
      <c r="C110" s="52" t="str">
        <f>IFERROR(HLOOKUP($B110,FUT_18_Emp_Tot,Age15_29, FALSE)/(HLOOKUP("Total",FUT_18_Emp_Tot,Age15_29, FALSE)-HLOOKUP("Not applicable",FUT_18_Emp_Tot,Age15_29, FALSE)),":")</f>
        <v>:</v>
      </c>
      <c r="D110" s="53" t="str">
        <f>IFERROR(HLOOKUP($B110,FUT_18_Emp_Men,Age15_29, FALSE)/(HLOOKUP("Total",FUT_18_Emp_Men,Age15_29, FALSE)-HLOOKUP("Not applicable",FUT_18_Emp_Men,Age15_29, FALSE)),":")</f>
        <v>:</v>
      </c>
      <c r="E110" s="54" t="str">
        <f>IFERROR(HLOOKUP($B110,FUT_18_Emp_Women,Age15_29, FALSE)/(HLOOKUP("Total",FUT_18_Emp_Women,Age15_29, FALSE)-HLOOKUP("Not applicable",FUT_18_Emp_Women,Age15_29, FALSE)),":")</f>
        <v>:</v>
      </c>
      <c r="F110" s="52" t="str">
        <f>IFERROR(HLOOKUP($B110,FUT_18_Emp_Tot,Age15_19, FALSE)/(HLOOKUP("Total",FUT_18_Emp_Tot,Age15_19, FALSE)-HLOOKUP("Not applicable",FUT_18_Emp_Tot,Age15_19, FALSE)),":")</f>
        <v>:</v>
      </c>
      <c r="G110" s="53" t="str">
        <f>IFERROR(HLOOKUP($B110,FUT_18_Emp_Men,Age15_19, FALSE)/(HLOOKUP("Total",FUT_18_Emp_Men,Age15_19, FALSE)-HLOOKUP("Not applicable",FUT_18_Emp_Men,Age15_19, FALSE)),":")</f>
        <v>:</v>
      </c>
      <c r="H110" s="54" t="str">
        <f>IFERROR(HLOOKUP($B110,FUT_18_Emp_Women,Age15_19, FALSE)/(HLOOKUP("Total",FUT_18_Emp_Women,Age15_19, FALSE)-HLOOKUP("Not applicable",FUT_18_Emp_Women,Age15_19, FALSE)),":")</f>
        <v>:</v>
      </c>
      <c r="I110" s="52" t="str">
        <f>IFERROR(HLOOKUP($B110,FUT_18_Emp_Tot,Age20_24, FALSE)/(HLOOKUP("Total",FUT_18_Emp_Tot,Age20_24, FALSE)-HLOOKUP("Not applicable",FUT_18_Emp_Tot,Age20_24, FALSE)),":")</f>
        <v>:</v>
      </c>
      <c r="J110" s="53" t="str">
        <f>IFERROR(HLOOKUP($B110,FUT_18_Emp_Men,Age20_24, FALSE)/(HLOOKUP("Total",FUT_18_Emp_Men,Age20_24, FALSE)-HLOOKUP("Not applicable",FUT_18_Emp_Men,Age20_24, FALSE)),":")</f>
        <v>:</v>
      </c>
      <c r="K110" s="54" t="str">
        <f>IFERROR(HLOOKUP($B110,FUT_18_Emp_Women,Age20_24, FALSE)/(HLOOKUP("Total",FUT_18_Emp_Women,Age20_24, FALSE)-HLOOKUP("Not applicable",FUT_18_Emp_Women,Age20_24, FALSE)),":")</f>
        <v>:</v>
      </c>
      <c r="L110" s="52" t="str">
        <f>IFERROR(HLOOKUP($B110,FUT_18_Emp_Tot,Age25_29, FALSE)/(HLOOKUP("Total",FUT_18_Emp_Tot,Age25_29, FALSE)-HLOOKUP("Not applicable",FUT_18_Emp_Tot,Age25_29, FALSE)),":")</f>
        <v>:</v>
      </c>
      <c r="M110" s="53" t="str">
        <f>IFERROR(HLOOKUP($B110,FUT_18_Emp_Men,Age25_29, FALSE)/(HLOOKUP("Total",FUT_18_Emp_Men,Age25_29, FALSE)-HLOOKUP("Not applicable",FUT_18_Emp_Men,Age25_29, FALSE)),":")</f>
        <v>:</v>
      </c>
      <c r="N110" s="54" t="str">
        <f>IFERROR(HLOOKUP($B110,FUT_18_Emp_Women,Age25_29, FALSE)/(HLOOKUP("Total",FUT_18_Emp_Women,Age25_29, FALSE)-HLOOKUP("Not applicable",FUT_18_Emp_Women,Age25_29, FALSE)),":")</f>
        <v>:</v>
      </c>
    </row>
    <row r="111" spans="1:14" x14ac:dyDescent="0.35">
      <c r="A111" s="99" t="s">
        <v>194</v>
      </c>
      <c r="B111" s="104"/>
      <c r="C111" s="101" t="str">
        <f t="shared" ref="C111:E111" si="39">IF(COUNT(C112:C113)&gt;0,SUM(C112:C113),":")</f>
        <v>:</v>
      </c>
      <c r="D111" s="102" t="str">
        <f t="shared" si="39"/>
        <v>:</v>
      </c>
      <c r="E111" s="103" t="str">
        <f t="shared" si="39"/>
        <v>:</v>
      </c>
      <c r="F111" s="101" t="str">
        <f t="shared" ref="F111:K111" si="40">IF(COUNT(F112:F113)&gt;0,SUM(F112:F113),":")</f>
        <v>:</v>
      </c>
      <c r="G111" s="102" t="str">
        <f t="shared" si="40"/>
        <v>:</v>
      </c>
      <c r="H111" s="103" t="str">
        <f t="shared" si="40"/>
        <v>:</v>
      </c>
      <c r="I111" s="101" t="str">
        <f t="shared" si="40"/>
        <v>:</v>
      </c>
      <c r="J111" s="102" t="str">
        <f t="shared" si="40"/>
        <v>:</v>
      </c>
      <c r="K111" s="103" t="str">
        <f t="shared" si="40"/>
        <v>:</v>
      </c>
      <c r="L111" s="101" t="str">
        <f t="shared" ref="L111:N111" si="41">IF(COUNT(L112:L113)&gt;0,SUM(L112:L113),":")</f>
        <v>:</v>
      </c>
      <c r="M111" s="102" t="str">
        <f t="shared" si="41"/>
        <v>:</v>
      </c>
      <c r="N111" s="103" t="str">
        <f t="shared" si="41"/>
        <v>:</v>
      </c>
    </row>
    <row r="112" spans="1:14" outlineLevel="1" x14ac:dyDescent="0.35">
      <c r="A112" s="50"/>
      <c r="B112" s="60" t="s">
        <v>20</v>
      </c>
      <c r="C112" s="52" t="str">
        <f>IFERROR(HLOOKUP($B112,FUT_18_Emp_Tot,Age15_29, FALSE)/(HLOOKUP("Total",FUT_18_Emp_Tot,Age15_29, FALSE)-HLOOKUP("Not applicable",FUT_18_Emp_Tot,Age15_29, FALSE)),":")</f>
        <v>:</v>
      </c>
      <c r="D112" s="53" t="str">
        <f>IFERROR(HLOOKUP($B112,FUT_18_Emp_Men,Age15_29, FALSE)/(HLOOKUP("Total",FUT_18_Emp_Men,Age15_29, FALSE)-HLOOKUP("Not applicable",FUT_18_Emp_Men,Age15_29, FALSE)),":")</f>
        <v>:</v>
      </c>
      <c r="E112" s="54" t="str">
        <f>IFERROR(HLOOKUP($B112,FUT_18_Emp_Women,Age15_29, FALSE)/(HLOOKUP("Total",FUT_18_Emp_Women,Age15_29, FALSE)-HLOOKUP("Not applicable",FUT_18_Emp_Women,Age15_29, FALSE)),":")</f>
        <v>:</v>
      </c>
      <c r="F112" s="52" t="str">
        <f>IFERROR(HLOOKUP($B112,FUT_18_Emp_Tot,Age15_19, FALSE)/(HLOOKUP("Total",FUT_18_Emp_Tot,Age15_19, FALSE)-HLOOKUP("Not applicable",FUT_18_Emp_Tot,Age15_19, FALSE)),":")</f>
        <v>:</v>
      </c>
      <c r="G112" s="53" t="str">
        <f>IFERROR(HLOOKUP($B112,FUT_18_Emp_Men,Age15_19, FALSE)/(HLOOKUP("Total",FUT_18_Emp_Men,Age15_19, FALSE)-HLOOKUP("Not applicable",FUT_18_Emp_Men,Age15_19, FALSE)),":")</f>
        <v>:</v>
      </c>
      <c r="H112" s="54" t="str">
        <f>IFERROR(HLOOKUP($B112,FUT_18_Emp_Women,Age15_19, FALSE)/(HLOOKUP("Total",FUT_18_Emp_Women,Age15_19, FALSE)-HLOOKUP("Not applicable",FUT_18_Emp_Women,Age15_19, FALSE)),":")</f>
        <v>:</v>
      </c>
      <c r="I112" s="52" t="str">
        <f>IFERROR(HLOOKUP($B112,FUT_18_Emp_Tot,Age20_24, FALSE)/(HLOOKUP("Total",FUT_18_Emp_Tot,Age20_24, FALSE)-HLOOKUP("Not applicable",FUT_18_Emp_Tot,Age20_24, FALSE)),":")</f>
        <v>:</v>
      </c>
      <c r="J112" s="53" t="str">
        <f>IFERROR(HLOOKUP($B112,FUT_18_Emp_Men,Age20_24, FALSE)/(HLOOKUP("Total",FUT_18_Emp_Men,Age20_24, FALSE)-HLOOKUP("Not applicable",FUT_18_Emp_Men,Age20_24, FALSE)),":")</f>
        <v>:</v>
      </c>
      <c r="K112" s="54" t="str">
        <f>IFERROR(HLOOKUP($B112,FUT_18_Emp_Women,Age20_24, FALSE)/(HLOOKUP("Total",FUT_18_Emp_Women,Age20_24, FALSE)-HLOOKUP("Not applicable",FUT_18_Emp_Women,Age20_24, FALSE)),":")</f>
        <v>:</v>
      </c>
      <c r="L112" s="52" t="str">
        <f>IFERROR(HLOOKUP($B112,FUT_18_Emp_Tot,Age25_29, FALSE)/(HLOOKUP("Total",FUT_18_Emp_Tot,Age25_29, FALSE)-HLOOKUP("Not applicable",FUT_18_Emp_Tot,Age25_29, FALSE)),":")</f>
        <v>:</v>
      </c>
      <c r="M112" s="53" t="str">
        <f>IFERROR(HLOOKUP($B112,FUT_18_Emp_Men,Age25_29, FALSE)/(HLOOKUP("Total",FUT_18_Emp_Men,Age25_29, FALSE)-HLOOKUP("Not applicable",FUT_18_Emp_Men,Age25_29, FALSE)),":")</f>
        <v>:</v>
      </c>
      <c r="N112" s="54" t="str">
        <f>IFERROR(HLOOKUP($B112,FUT_18_Emp_Women,Age25_29, FALSE)/(HLOOKUP("Total",FUT_18_Emp_Women,Age25_29, FALSE)-HLOOKUP("Not applicable",FUT_18_Emp_Women,Age25_29, FALSE)),":")</f>
        <v>:</v>
      </c>
    </row>
    <row r="113" spans="1:14" outlineLevel="1" x14ac:dyDescent="0.35">
      <c r="A113" s="50"/>
      <c r="B113" s="60" t="s">
        <v>100</v>
      </c>
      <c r="C113" s="52" t="str">
        <f>IFERROR(HLOOKUP($B113,FUT_18_Emp_Tot,Age15_29, FALSE)/(HLOOKUP("Total",FUT_18_Emp_Tot,Age15_29, FALSE)-HLOOKUP("Not applicable",FUT_18_Emp_Tot,Age15_29, FALSE)),":")</f>
        <v>:</v>
      </c>
      <c r="D113" s="53" t="str">
        <f>IFERROR(HLOOKUP($B113,FUT_18_Emp_Men,Age15_29, FALSE)/(HLOOKUP("Total",FUT_18_Emp_Men,Age15_29, FALSE)-HLOOKUP("Not applicable",FUT_18_Emp_Men,Age15_29, FALSE)),":")</f>
        <v>:</v>
      </c>
      <c r="E113" s="54" t="str">
        <f>IFERROR(HLOOKUP($B113,FUT_18_Emp_Women,Age15_29, FALSE)/(HLOOKUP("Total",FUT_18_Emp_Women,Age15_29, FALSE)-HLOOKUP("Not applicable",FUT_18_Emp_Women,Age15_29, FALSE)),":")</f>
        <v>:</v>
      </c>
      <c r="F113" s="52" t="str">
        <f>IFERROR(HLOOKUP($B113,FUT_18_Emp_Tot,Age15_19, FALSE)/(HLOOKUP("Total",FUT_18_Emp_Tot,Age15_19, FALSE)-HLOOKUP("Not applicable",FUT_18_Emp_Tot,Age15_19, FALSE)),":")</f>
        <v>:</v>
      </c>
      <c r="G113" s="53" t="str">
        <f>IFERROR(HLOOKUP($B113,FUT_18_Emp_Men,Age15_19, FALSE)/(HLOOKUP("Total",FUT_18_Emp_Men,Age15_19, FALSE)-HLOOKUP("Not applicable",FUT_18_Emp_Men,Age15_19, FALSE)),":")</f>
        <v>:</v>
      </c>
      <c r="H113" s="54" t="str">
        <f>IFERROR(HLOOKUP($B113,FUT_18_Emp_Women,Age15_19, FALSE)/(HLOOKUP("Total",FUT_18_Emp_Women,Age15_19, FALSE)-HLOOKUP("Not applicable",FUT_18_Emp_Women,Age15_19, FALSE)),":")</f>
        <v>:</v>
      </c>
      <c r="I113" s="52" t="str">
        <f>IFERROR(HLOOKUP($B113,FUT_18_Emp_Tot,Age20_24, FALSE)/(HLOOKUP("Total",FUT_18_Emp_Tot,Age20_24, FALSE)-HLOOKUP("Not applicable",FUT_18_Emp_Tot,Age20_24, FALSE)),":")</f>
        <v>:</v>
      </c>
      <c r="J113" s="53" t="str">
        <f>IFERROR(HLOOKUP($B113,FUT_18_Emp_Men,Age20_24, FALSE)/(HLOOKUP("Total",FUT_18_Emp_Men,Age20_24, FALSE)-HLOOKUP("Not applicable",FUT_18_Emp_Men,Age20_24, FALSE)),":")</f>
        <v>:</v>
      </c>
      <c r="K113" s="54" t="str">
        <f>IFERROR(HLOOKUP($B113,FUT_18_Emp_Women,Age20_24, FALSE)/(HLOOKUP("Total",FUT_18_Emp_Women,Age20_24, FALSE)-HLOOKUP("Not applicable",FUT_18_Emp_Women,Age20_24, FALSE)),":")</f>
        <v>:</v>
      </c>
      <c r="L113" s="52" t="str">
        <f>IFERROR(HLOOKUP($B113,FUT_18_Emp_Tot,Age25_29, FALSE)/(HLOOKUP("Total",FUT_18_Emp_Tot,Age25_29, FALSE)-HLOOKUP("Not applicable",FUT_18_Emp_Tot,Age25_29, FALSE)),":")</f>
        <v>:</v>
      </c>
      <c r="M113" s="53" t="str">
        <f>IFERROR(HLOOKUP($B113,FUT_18_Emp_Men,Age25_29, FALSE)/(HLOOKUP("Total",FUT_18_Emp_Men,Age25_29, FALSE)-HLOOKUP("Not applicable",FUT_18_Emp_Men,Age25_29, FALSE)),":")</f>
        <v>:</v>
      </c>
      <c r="N113" s="54" t="str">
        <f>IFERROR(HLOOKUP($B113,FUT_18_Emp_Women,Age25_29, FALSE)/(HLOOKUP("Total",FUT_18_Emp_Women,Age25_29, FALSE)-HLOOKUP("Not applicable",FUT_18_Emp_Women,Age25_29, FALSE)),":")</f>
        <v>:</v>
      </c>
    </row>
    <row r="114" spans="1:14" ht="15" thickBot="1" x14ac:dyDescent="0.4">
      <c r="A114" s="105" t="s">
        <v>21</v>
      </c>
      <c r="B114" s="106"/>
      <c r="C114" s="107" t="str">
        <f>IFERROR(HLOOKUP($A114,FUT_18_Emp_Tot,Age15_29, FALSE)/(HLOOKUP("Total",FUT_18_Emp_Tot,Age15_29, FALSE)-HLOOKUP("Not applicable",FUT_18_Emp_Tot,Age15_29, FALSE)),":")</f>
        <v>:</v>
      </c>
      <c r="D114" s="108" t="str">
        <f>IFERROR(HLOOKUP($A114,FUT_18_Emp_Men,Age15_29, FALSE)/(HLOOKUP("Total",FUT_18_Emp_Men,Age15_29, FALSE)-HLOOKUP("Not applicable",FUT_18_Emp_Men,Age15_29, FALSE)),":")</f>
        <v>:</v>
      </c>
      <c r="E114" s="109" t="str">
        <f>IFERROR(HLOOKUP($A114,FUT_18_Emp_Women,Age15_29, FALSE)/(HLOOKUP("Total",FUT_18_Emp_Women,Age15_29, FALSE)-HLOOKUP("Not applicable",FUT_18_Emp_Women,Age15_29, FALSE)),":")</f>
        <v>:</v>
      </c>
      <c r="F114" s="107" t="str">
        <f>IFERROR(HLOOKUP($A114,FUT_18_Emp_Tot,Age15_19, FALSE)/(HLOOKUP("Total",FUT_18_Emp_Tot,Age15_19, FALSE)-HLOOKUP("Not applicable",FUT_18_Emp_Tot,Age15_19, FALSE)),":")</f>
        <v>:</v>
      </c>
      <c r="G114" s="108" t="str">
        <f>IFERROR(HLOOKUP($A114,FUT_18_Emp_Men,Age15_19, FALSE)/(HLOOKUP("Total",FUT_18_Emp_Men,Age15_19, FALSE)-HLOOKUP("Not applicable",FUT_18_Emp_Men,Age15_19, FALSE)),":")</f>
        <v>:</v>
      </c>
      <c r="H114" s="109" t="str">
        <f>IFERROR(HLOOKUP($A114,FUT_18_Emp_Women,Age15_19, FALSE)/(HLOOKUP("Total",FUT_18_Emp_Women,Age15_19, FALSE)-HLOOKUP("Not applicable",FUT_18_Emp_Women,Age15_19, FALSE)),":")</f>
        <v>:</v>
      </c>
      <c r="I114" s="107" t="str">
        <f>IFERROR(HLOOKUP($A114,FUT_18_Emp_Tot,Age20_24, FALSE)/(HLOOKUP("Total",FUT_18_Emp_Tot,Age20_24, FALSE)-HLOOKUP("Not applicable",FUT_18_Emp_Tot,Age20_24, FALSE)),":")</f>
        <v>:</v>
      </c>
      <c r="J114" s="108" t="str">
        <f>IFERROR(HLOOKUP($A114,FUT_18_Emp_Men,Age20_24, FALSE)/(HLOOKUP("Total",FUT_18_Emp_Men,Age20_24, FALSE)-HLOOKUP("Not applicable",FUT_18_Emp_Men,Age20_24, FALSE)),":")</f>
        <v>:</v>
      </c>
      <c r="K114" s="109" t="str">
        <f>IFERROR(HLOOKUP($A114,FUT_18_Emp_Women,Age20_24, FALSE)/(HLOOKUP("Total",FUT_18_Emp_Women,Age20_24, FALSE)-HLOOKUP("Not applicable",FUT_18_Emp_Women,Age20_24, FALSE)),":")</f>
        <v>:</v>
      </c>
      <c r="L114" s="107" t="str">
        <f>IFERROR(HLOOKUP($A114,FUT_18_Emp_Tot,Age25_29, FALSE)/(HLOOKUP("Total",FUT_18_Emp_Tot,Age25_29, FALSE)-HLOOKUP("Not applicable",FUT_18_Emp_Tot,Age25_29, FALSE)),":")</f>
        <v>:</v>
      </c>
      <c r="M114" s="108" t="str">
        <f>IFERROR(HLOOKUP($A114,FUT_18_Emp_Men,Age25_29, FALSE)/(HLOOKUP("Total",FUT_18_Emp_Men,Age25_29, FALSE)-HLOOKUP("Not applicable",FUT_18_Emp_Men,Age25_29, FALSE)),":")</f>
        <v>:</v>
      </c>
      <c r="N114" s="109" t="str">
        <f>IFERROR(HLOOKUP($A114,FUT_18_Emp_Women,Age25_29, FALSE)/(HLOOKUP("Total",FUT_18_Emp_Women,Age25_29, FALSE)-HLOOKUP("Not applicable",FUT_18_Emp_Women,Age25_29, FALSE)),":")</f>
        <v>:</v>
      </c>
    </row>
    <row r="115" spans="1:14" ht="15" thickTop="1" x14ac:dyDescent="0.35"/>
    <row r="116" spans="1:14" s="45" customFormat="1" x14ac:dyDescent="0.35">
      <c r="A116" s="45" t="s">
        <v>211</v>
      </c>
      <c r="C116" s="45" t="s">
        <v>199</v>
      </c>
    </row>
    <row r="117" spans="1:14" s="45" customFormat="1" ht="58.5" customHeight="1" x14ac:dyDescent="0.35">
      <c r="A117" s="45" t="s">
        <v>213</v>
      </c>
      <c r="C117" s="371" t="s">
        <v>446</v>
      </c>
      <c r="D117" s="371"/>
      <c r="E117" s="371"/>
      <c r="F117" s="371"/>
      <c r="G117" s="371"/>
      <c r="H117" s="371"/>
      <c r="I117" s="371"/>
      <c r="J117" s="371"/>
      <c r="K117" s="203"/>
    </row>
    <row r="118" spans="1:14" ht="15" thickBot="1" x14ac:dyDescent="0.4"/>
    <row r="119" spans="1:14" ht="15.75" customHeight="1" thickTop="1" x14ac:dyDescent="0.35">
      <c r="A119" s="361" t="s">
        <v>192</v>
      </c>
      <c r="B119" s="369"/>
      <c r="C119" s="365" t="s">
        <v>240</v>
      </c>
      <c r="D119" s="366"/>
      <c r="E119" s="367"/>
      <c r="F119" s="365" t="s">
        <v>11</v>
      </c>
      <c r="G119" s="366"/>
      <c r="H119" s="367"/>
      <c r="I119" s="368" t="s">
        <v>13</v>
      </c>
      <c r="J119" s="366"/>
      <c r="K119" s="367"/>
      <c r="L119" s="365" t="s">
        <v>239</v>
      </c>
      <c r="M119" s="366"/>
      <c r="N119" s="373"/>
    </row>
    <row r="120" spans="1:14" x14ac:dyDescent="0.35">
      <c r="A120" s="363"/>
      <c r="B120" s="370"/>
      <c r="C120" s="49" t="s">
        <v>3</v>
      </c>
      <c r="D120" s="47" t="s">
        <v>4</v>
      </c>
      <c r="E120" s="48" t="s">
        <v>5</v>
      </c>
      <c r="F120" s="49" t="s">
        <v>3</v>
      </c>
      <c r="G120" s="47" t="s">
        <v>4</v>
      </c>
      <c r="H120" s="48" t="s">
        <v>5</v>
      </c>
      <c r="I120" s="46" t="s">
        <v>3</v>
      </c>
      <c r="J120" s="47" t="s">
        <v>4</v>
      </c>
      <c r="K120" s="48" t="s">
        <v>5</v>
      </c>
      <c r="L120" s="49" t="s">
        <v>3</v>
      </c>
      <c r="M120" s="47" t="s">
        <v>4</v>
      </c>
      <c r="N120" s="204" t="s">
        <v>5</v>
      </c>
    </row>
    <row r="121" spans="1:14" x14ac:dyDescent="0.35">
      <c r="A121" s="99" t="s">
        <v>193</v>
      </c>
      <c r="B121" s="100"/>
      <c r="C121" s="101" t="str">
        <f t="shared" ref="C121:E121" si="42">IF(COUNT(C122:C125)&gt;0,SUM(C122:C125),":")</f>
        <v>:</v>
      </c>
      <c r="D121" s="102" t="str">
        <f t="shared" si="42"/>
        <v>:</v>
      </c>
      <c r="E121" s="103" t="str">
        <f t="shared" si="42"/>
        <v>:</v>
      </c>
      <c r="F121" s="101" t="str">
        <f t="shared" ref="F121:K121" si="43">IF(COUNT(F122:F125)&gt;0,SUM(F122:F125),":")</f>
        <v>:</v>
      </c>
      <c r="G121" s="102" t="str">
        <f t="shared" si="43"/>
        <v>:</v>
      </c>
      <c r="H121" s="103" t="str">
        <f t="shared" si="43"/>
        <v>:</v>
      </c>
      <c r="I121" s="101" t="str">
        <f t="shared" si="43"/>
        <v>:</v>
      </c>
      <c r="J121" s="102" t="str">
        <f t="shared" si="43"/>
        <v>:</v>
      </c>
      <c r="K121" s="103" t="str">
        <f t="shared" si="43"/>
        <v>:</v>
      </c>
      <c r="L121" s="101" t="str">
        <f t="shared" ref="L121:N121" si="44">IF(COUNT(L122:L125)&gt;0,SUM(L122:L125),":")</f>
        <v>:</v>
      </c>
      <c r="M121" s="102" t="str">
        <f t="shared" si="44"/>
        <v>:</v>
      </c>
      <c r="N121" s="103" t="str">
        <f t="shared" si="44"/>
        <v>:</v>
      </c>
    </row>
    <row r="122" spans="1:14" outlineLevel="1" x14ac:dyDescent="0.35">
      <c r="A122" s="50"/>
      <c r="B122" s="60" t="s">
        <v>15</v>
      </c>
      <c r="C122" s="52" t="str">
        <f>IFERROR(HLOOKUP($B122,FUT_6_Educ_Tot,Age15_29, FALSE)/(HLOOKUP("Total",FUT_6_Educ_Tot,Age15_29, FALSE)-HLOOKUP("Not applicable",FUT_6_Educ_Tot,Age15_29, FALSE)),":")</f>
        <v>:</v>
      </c>
      <c r="D122" s="53" t="str">
        <f>IFERROR(HLOOKUP($B122,FUT_6_Educ_Men,Age15_29, FALSE)/(HLOOKUP("Total",FUT_6_Educ_Men,Age15_29, FALSE)-HLOOKUP("Not applicable",FUT_6_Educ_Men,Age15_29, FALSE)),":")</f>
        <v>:</v>
      </c>
      <c r="E122" s="54" t="str">
        <f>IFERROR(HLOOKUP($B122,FUT_6_Educ_Women,Age15_29, FALSE)/(HLOOKUP("Total",FUT_6_Educ_Women,Age15_29, FALSE)-HLOOKUP("Not applicable",FUT_6_Educ_Women,Age15_29, FALSE)),":")</f>
        <v>:</v>
      </c>
      <c r="F122" s="52" t="str">
        <f>IFERROR(HLOOKUP($B122,FUT_6_Educ_Tot,Age15_19, FALSE)/(HLOOKUP("Total",FUT_6_Educ_Tot,Age15_19, FALSE)-HLOOKUP("Not applicable",FUT_6_Educ_Tot,Age15_19, FALSE)),":")</f>
        <v>:</v>
      </c>
      <c r="G122" s="53" t="str">
        <f>IFERROR(HLOOKUP($B122,FUT_6_Educ_Men,Age15_19, FALSE)/(HLOOKUP("Total",FUT_6_Educ_Men,Age15_19, FALSE)-HLOOKUP("Not applicable",FUT_6_Educ_Men,Age15_19, FALSE)),":")</f>
        <v>:</v>
      </c>
      <c r="H122" s="54" t="str">
        <f>IFERROR(HLOOKUP($B122,FUT_6_Educ_Women,Age15_19, FALSE)/(HLOOKUP("Total",FUT_6_Educ_Women,Age15_19, FALSE)-HLOOKUP("Not applicable",FUT_6_Educ_Women,Age15_19, FALSE)),":")</f>
        <v>:</v>
      </c>
      <c r="I122" s="52" t="str">
        <f>IFERROR(HLOOKUP($B122,FUT_6_Educ_Tot,Age20_24, FALSE)/(HLOOKUP("Total",FUT_6_Educ_Tot,Age20_24, FALSE)-HLOOKUP("Not applicable",FUT_6_Educ_Tot,Age20_24, FALSE)),":")</f>
        <v>:</v>
      </c>
      <c r="J122" s="53" t="str">
        <f>IFERROR(HLOOKUP($B122,FUT_6_Educ_Men,Age20_24, FALSE)/(HLOOKUP("Total",FUT_6_Educ_Men,Age20_24, FALSE)-HLOOKUP("Not applicable",FUT_6_Educ_Men,Age20_24, FALSE)),":")</f>
        <v>:</v>
      </c>
      <c r="K122" s="54" t="str">
        <f>IFERROR(HLOOKUP($B122,FUT_6_Educ_Women,Age20_24, FALSE)/(HLOOKUP("Total",FUT_6_Educ_Women,Age20_24, FALSE)-HLOOKUP("Not applicable",FUT_6_Educ_Women,Age20_24, FALSE)),":")</f>
        <v>:</v>
      </c>
      <c r="L122" s="52" t="str">
        <f>IFERROR(HLOOKUP($B122,FUT_6_Educ_Tot,Age25_29, FALSE)/(HLOOKUP("Total",FUT_6_Educ_Tot,Age25_29, FALSE)-HLOOKUP("Not applicable",FUT_6_Educ_Tot,Age25_29, FALSE)),":")</f>
        <v>:</v>
      </c>
      <c r="M122" s="53" t="str">
        <f>IFERROR(HLOOKUP($B122,FUT_6_Educ_Men,Age25_29, FALSE)/(HLOOKUP("Total",FUT_6_Educ_Men,Age25_29, FALSE)-HLOOKUP("Not applicable",FUT_6_Educ_Men,Age25_29, FALSE)),":")</f>
        <v>:</v>
      </c>
      <c r="N122" s="54" t="str">
        <f>IFERROR(HLOOKUP($B122,FUT_6_Educ_Women,Age25_29, FALSE)/(HLOOKUP("Total",FUT_6_Educ_Women,Age25_29, FALSE)-HLOOKUP("Not applicable",FUT_6_Educ_Women,Age25_29, FALSE)),":")</f>
        <v>:</v>
      </c>
    </row>
    <row r="123" spans="1:14" outlineLevel="1" x14ac:dyDescent="0.35">
      <c r="A123" s="50"/>
      <c r="B123" s="60" t="s">
        <v>16</v>
      </c>
      <c r="C123" s="52" t="str">
        <f>IFERROR(HLOOKUP($B123,FUT_6_Educ_Tot,Age15_29, FALSE)/(HLOOKUP("Total",FUT_6_Educ_Tot,Age15_29, FALSE)-HLOOKUP("Not applicable",FUT_6_Educ_Tot,Age15_29, FALSE)),":")</f>
        <v>:</v>
      </c>
      <c r="D123" s="53" t="str">
        <f>IFERROR(HLOOKUP($B123,FUT_6_Educ_Men,Age15_29, FALSE)/(HLOOKUP("Total",FUT_6_Educ_Men,Age15_29, FALSE)-HLOOKUP("Not applicable",FUT_6_Educ_Men,Age15_29, FALSE)),":")</f>
        <v>:</v>
      </c>
      <c r="E123" s="54" t="str">
        <f>IFERROR(HLOOKUP($B123,FUT_6_Educ_Women,Age15_29, FALSE)/(HLOOKUP("Total",FUT_6_Educ_Women,Age15_29, FALSE)-HLOOKUP("Not applicable",FUT_6_Educ_Women,Age15_29, FALSE)),":")</f>
        <v>:</v>
      </c>
      <c r="F123" s="52" t="str">
        <f>IFERROR(HLOOKUP($B123,FUT_6_Educ_Tot,Age15_19, FALSE)/(HLOOKUP("Total",FUT_6_Educ_Tot,Age15_19, FALSE)-HLOOKUP("Not applicable",FUT_6_Educ_Tot,Age15_19, FALSE)),":")</f>
        <v>:</v>
      </c>
      <c r="G123" s="53" t="str">
        <f>IFERROR(HLOOKUP($B123,FUT_6_Educ_Men,Age15_19, FALSE)/(HLOOKUP("Total",FUT_6_Educ_Men,Age15_19, FALSE)-HLOOKUP("Not applicable",FUT_6_Educ_Men,Age15_19, FALSE)),":")</f>
        <v>:</v>
      </c>
      <c r="H123" s="54" t="str">
        <f>IFERROR(HLOOKUP($B123,FUT_6_Educ_Women,Age15_19, FALSE)/(HLOOKUP("Total",FUT_6_Educ_Women,Age15_19, FALSE)-HLOOKUP("Not applicable",FUT_6_Educ_Women,Age15_19, FALSE)),":")</f>
        <v>:</v>
      </c>
      <c r="I123" s="52" t="str">
        <f>IFERROR(HLOOKUP($B123,FUT_6_Educ_Tot,Age20_24, FALSE)/(HLOOKUP("Total",FUT_6_Educ_Tot,Age20_24, FALSE)-HLOOKUP("Not applicable",FUT_6_Educ_Tot,Age20_24, FALSE)),":")</f>
        <v>:</v>
      </c>
      <c r="J123" s="53" t="str">
        <f>IFERROR(HLOOKUP($B123,FUT_6_Educ_Men,Age20_24, FALSE)/(HLOOKUP("Total",FUT_6_Educ_Men,Age20_24, FALSE)-HLOOKUP("Not applicable",FUT_6_Educ_Men,Age20_24, FALSE)),":")</f>
        <v>:</v>
      </c>
      <c r="K123" s="54" t="str">
        <f>IFERROR(HLOOKUP($B123,FUT_6_Educ_Women,Age20_24, FALSE)/(HLOOKUP("Total",FUT_6_Educ_Women,Age20_24, FALSE)-HLOOKUP("Not applicable",FUT_6_Educ_Women,Age20_24, FALSE)),":")</f>
        <v>:</v>
      </c>
      <c r="L123" s="52" t="str">
        <f>IFERROR(HLOOKUP($B123,FUT_6_Educ_Tot,Age25_29, FALSE)/(HLOOKUP("Total",FUT_6_Educ_Tot,Age25_29, FALSE)-HLOOKUP("Not applicable",FUT_6_Educ_Tot,Age25_29, FALSE)),":")</f>
        <v>:</v>
      </c>
      <c r="M123" s="53" t="str">
        <f>IFERROR(HLOOKUP($B123,FUT_6_Educ_Men,Age25_29, FALSE)/(HLOOKUP("Total",FUT_6_Educ_Men,Age25_29, FALSE)-HLOOKUP("Not applicable",FUT_6_Educ_Men,Age25_29, FALSE)),":")</f>
        <v>:</v>
      </c>
      <c r="N123" s="54" t="str">
        <f>IFERROR(HLOOKUP($B123,FUT_6_Educ_Women,Age25_29, FALSE)/(HLOOKUP("Total",FUT_6_Educ_Women,Age25_29, FALSE)-HLOOKUP("Not applicable",FUT_6_Educ_Women,Age25_29, FALSE)),":")</f>
        <v>:</v>
      </c>
    </row>
    <row r="124" spans="1:14" outlineLevel="1" x14ac:dyDescent="0.35">
      <c r="A124" s="50"/>
      <c r="B124" s="60" t="s">
        <v>17</v>
      </c>
      <c r="C124" s="52" t="str">
        <f>IFERROR(HLOOKUP($B124,FUT_6_Educ_Tot,Age15_29, FALSE)/(HLOOKUP("Total",FUT_6_Educ_Tot,Age15_29, FALSE)-HLOOKUP("Not applicable",FUT_6_Educ_Tot,Age15_29, FALSE)),":")</f>
        <v>:</v>
      </c>
      <c r="D124" s="53" t="str">
        <f>IFERROR(HLOOKUP($B124,FUT_6_Educ_Men,Age15_29, FALSE)/(HLOOKUP("Total",FUT_6_Educ_Men,Age15_29, FALSE)-HLOOKUP("Not applicable",FUT_6_Educ_Men,Age15_29, FALSE)),":")</f>
        <v>:</v>
      </c>
      <c r="E124" s="54" t="str">
        <f>IFERROR(HLOOKUP($B124,FUT_6_Educ_Women,Age15_29, FALSE)/(HLOOKUP("Total",FUT_6_Educ_Women,Age15_29, FALSE)-HLOOKUP("Not applicable",FUT_6_Educ_Women,Age15_29, FALSE)),":")</f>
        <v>:</v>
      </c>
      <c r="F124" s="52" t="str">
        <f>IFERROR(HLOOKUP($B124,FUT_6_Educ_Tot,Age15_19, FALSE)/(HLOOKUP("Total",FUT_6_Educ_Tot,Age15_19, FALSE)-HLOOKUP("Not applicable",FUT_6_Educ_Tot,Age15_19, FALSE)),":")</f>
        <v>:</v>
      </c>
      <c r="G124" s="53" t="str">
        <f>IFERROR(HLOOKUP($B124,FUT_6_Educ_Men,Age15_19, FALSE)/(HLOOKUP("Total",FUT_6_Educ_Men,Age15_19, FALSE)-HLOOKUP("Not applicable",FUT_6_Educ_Men,Age15_19, FALSE)),":")</f>
        <v>:</v>
      </c>
      <c r="H124" s="54" t="str">
        <f>IFERROR(HLOOKUP($B124,FUT_6_Educ_Women,Age15_19, FALSE)/(HLOOKUP("Total",FUT_6_Educ_Women,Age15_19, FALSE)-HLOOKUP("Not applicable",FUT_6_Educ_Women,Age15_19, FALSE)),":")</f>
        <v>:</v>
      </c>
      <c r="I124" s="52" t="str">
        <f>IFERROR(HLOOKUP($B124,FUT_6_Educ_Tot,Age20_24, FALSE)/(HLOOKUP("Total",FUT_6_Educ_Tot,Age20_24, FALSE)-HLOOKUP("Not applicable",FUT_6_Educ_Tot,Age20_24, FALSE)),":")</f>
        <v>:</v>
      </c>
      <c r="J124" s="53" t="str">
        <f>IFERROR(HLOOKUP($B124,FUT_6_Educ_Men,Age20_24, FALSE)/(HLOOKUP("Total",FUT_6_Educ_Men,Age20_24, FALSE)-HLOOKUP("Not applicable",FUT_6_Educ_Men,Age20_24, FALSE)),":")</f>
        <v>:</v>
      </c>
      <c r="K124" s="54" t="str">
        <f>IFERROR(HLOOKUP($B124,FUT_6_Educ_Women,Age20_24, FALSE)/(HLOOKUP("Total",FUT_6_Educ_Women,Age20_24, FALSE)-HLOOKUP("Not applicable",FUT_6_Educ_Women,Age20_24, FALSE)),":")</f>
        <v>:</v>
      </c>
      <c r="L124" s="52" t="str">
        <f>IFERROR(HLOOKUP($B124,FUT_6_Educ_Tot,Age25_29, FALSE)/(HLOOKUP("Total",FUT_6_Educ_Tot,Age25_29, FALSE)-HLOOKUP("Not applicable",FUT_6_Educ_Tot,Age25_29, FALSE)),":")</f>
        <v>:</v>
      </c>
      <c r="M124" s="53" t="str">
        <f>IFERROR(HLOOKUP($B124,FUT_6_Educ_Men,Age25_29, FALSE)/(HLOOKUP("Total",FUT_6_Educ_Men,Age25_29, FALSE)-HLOOKUP("Not applicable",FUT_6_Educ_Men,Age25_29, FALSE)),":")</f>
        <v>:</v>
      </c>
      <c r="N124" s="54" t="str">
        <f>IFERROR(HLOOKUP($B124,FUT_6_Educ_Women,Age25_29, FALSE)/(HLOOKUP("Total",FUT_6_Educ_Women,Age25_29, FALSE)-HLOOKUP("Not applicable",FUT_6_Educ_Women,Age25_29, FALSE)),":")</f>
        <v>:</v>
      </c>
    </row>
    <row r="125" spans="1:14" outlineLevel="1" x14ac:dyDescent="0.35">
      <c r="A125" s="50"/>
      <c r="B125" s="60" t="s">
        <v>18</v>
      </c>
      <c r="C125" s="52" t="str">
        <f>IFERROR(HLOOKUP($B125,FUT_6_Educ_Tot,Age15_29, FALSE)/(HLOOKUP("Total",FUT_6_Educ_Tot,Age15_29, FALSE)-HLOOKUP("Not applicable",FUT_6_Educ_Tot,Age15_29, FALSE)),":")</f>
        <v>:</v>
      </c>
      <c r="D125" s="53" t="str">
        <f>IFERROR(HLOOKUP($B125,FUT_6_Educ_Men,Age15_29, FALSE)/(HLOOKUP("Total",FUT_6_Educ_Men,Age15_29, FALSE)-HLOOKUP("Not applicable",FUT_6_Educ_Men,Age15_29, FALSE)),":")</f>
        <v>:</v>
      </c>
      <c r="E125" s="54" t="str">
        <f>IFERROR(HLOOKUP($B125,FUT_6_Educ_Women,Age15_29, FALSE)/(HLOOKUP("Total",FUT_6_Educ_Women,Age15_29, FALSE)-HLOOKUP("Not applicable",FUT_6_Educ_Women,Age15_29, FALSE)),":")</f>
        <v>:</v>
      </c>
      <c r="F125" s="52" t="str">
        <f>IFERROR(HLOOKUP($B125,FUT_6_Educ_Tot,Age15_19, FALSE)/(HLOOKUP("Total",FUT_6_Educ_Tot,Age15_19, FALSE)-HLOOKUP("Not applicable",FUT_6_Educ_Tot,Age15_19, FALSE)),":")</f>
        <v>:</v>
      </c>
      <c r="G125" s="53" t="str">
        <f>IFERROR(HLOOKUP($B125,FUT_6_Educ_Men,Age15_19, FALSE)/(HLOOKUP("Total",FUT_6_Educ_Men,Age15_19, FALSE)-HLOOKUP("Not applicable",FUT_6_Educ_Men,Age15_19, FALSE)),":")</f>
        <v>:</v>
      </c>
      <c r="H125" s="54" t="str">
        <f>IFERROR(HLOOKUP($B125,FUT_6_Educ_Women,Age15_19, FALSE)/(HLOOKUP("Total",FUT_6_Educ_Women,Age15_19, FALSE)-HLOOKUP("Not applicable",FUT_6_Educ_Women,Age15_19, FALSE)),":")</f>
        <v>:</v>
      </c>
      <c r="I125" s="52" t="str">
        <f>IFERROR(HLOOKUP($B125,FUT_6_Educ_Tot,Age20_24, FALSE)/(HLOOKUP("Total",FUT_6_Educ_Tot,Age20_24, FALSE)-HLOOKUP("Not applicable",FUT_6_Educ_Tot,Age20_24, FALSE)),":")</f>
        <v>:</v>
      </c>
      <c r="J125" s="53" t="str">
        <f>IFERROR(HLOOKUP($B125,FUT_6_Educ_Men,Age20_24, FALSE)/(HLOOKUP("Total",FUT_6_Educ_Men,Age20_24, FALSE)-HLOOKUP("Not applicable",FUT_6_Educ_Men,Age20_24, FALSE)),":")</f>
        <v>:</v>
      </c>
      <c r="K125" s="54" t="str">
        <f>IFERROR(HLOOKUP($B125,FUT_6_Educ_Women,Age20_24, FALSE)/(HLOOKUP("Total",FUT_6_Educ_Women,Age20_24, FALSE)-HLOOKUP("Not applicable",FUT_6_Educ_Women,Age20_24, FALSE)),":")</f>
        <v>:</v>
      </c>
      <c r="L125" s="52" t="str">
        <f>IFERROR(HLOOKUP($B125,FUT_6_Educ_Tot,Age25_29, FALSE)/(HLOOKUP("Total",FUT_6_Educ_Tot,Age25_29, FALSE)-HLOOKUP("Not applicable",FUT_6_Educ_Tot,Age25_29, FALSE)),":")</f>
        <v>:</v>
      </c>
      <c r="M125" s="53" t="str">
        <f>IFERROR(HLOOKUP($B125,FUT_6_Educ_Men,Age25_29, FALSE)/(HLOOKUP("Total",FUT_6_Educ_Men,Age25_29, FALSE)-HLOOKUP("Not applicable",FUT_6_Educ_Men,Age25_29, FALSE)),":")</f>
        <v>:</v>
      </c>
      <c r="N125" s="54" t="str">
        <f>IFERROR(HLOOKUP($B125,FUT_6_Educ_Women,Age25_29, FALSE)/(HLOOKUP("Total",FUT_6_Educ_Women,Age25_29, FALSE)-HLOOKUP("Not applicable",FUT_6_Educ_Women,Age25_29, FALSE)),":")</f>
        <v>:</v>
      </c>
    </row>
    <row r="126" spans="1:14" x14ac:dyDescent="0.35">
      <c r="A126" s="99" t="s">
        <v>194</v>
      </c>
      <c r="B126" s="104"/>
      <c r="C126" s="101" t="str">
        <f t="shared" ref="C126:E126" si="45">IF(COUNT(C127:C128)&gt;0,SUM(C127:C128),":")</f>
        <v>:</v>
      </c>
      <c r="D126" s="102" t="str">
        <f t="shared" si="45"/>
        <v>:</v>
      </c>
      <c r="E126" s="103" t="str">
        <f t="shared" si="45"/>
        <v>:</v>
      </c>
      <c r="F126" s="101" t="str">
        <f t="shared" ref="F126:K126" si="46">IF(COUNT(F127:F128)&gt;0,SUM(F127:F128),":")</f>
        <v>:</v>
      </c>
      <c r="G126" s="102" t="str">
        <f t="shared" si="46"/>
        <v>:</v>
      </c>
      <c r="H126" s="103" t="str">
        <f t="shared" si="46"/>
        <v>:</v>
      </c>
      <c r="I126" s="101" t="str">
        <f t="shared" si="46"/>
        <v>:</v>
      </c>
      <c r="J126" s="102" t="str">
        <f t="shared" si="46"/>
        <v>:</v>
      </c>
      <c r="K126" s="103" t="str">
        <f t="shared" si="46"/>
        <v>:</v>
      </c>
      <c r="L126" s="101" t="str">
        <f t="shared" ref="L126:N126" si="47">IF(COUNT(L127:L128)&gt;0,SUM(L127:L128),":")</f>
        <v>:</v>
      </c>
      <c r="M126" s="102" t="str">
        <f t="shared" si="47"/>
        <v>:</v>
      </c>
      <c r="N126" s="103" t="str">
        <f t="shared" si="47"/>
        <v>:</v>
      </c>
    </row>
    <row r="127" spans="1:14" outlineLevel="1" x14ac:dyDescent="0.35">
      <c r="A127" s="50"/>
      <c r="B127" s="60" t="s">
        <v>20</v>
      </c>
      <c r="C127" s="52" t="str">
        <f>IFERROR(HLOOKUP($B127,FUT_6_Educ_Tot,Age15_29, FALSE)/(HLOOKUP("Total",FUT_6_Educ_Tot,Age15_29, FALSE)-HLOOKUP("Not applicable",FUT_6_Educ_Tot,Age15_29, FALSE)),":")</f>
        <v>:</v>
      </c>
      <c r="D127" s="53" t="str">
        <f>IFERROR(HLOOKUP($B127,FUT_6_Educ_Men,Age15_29, FALSE)/(HLOOKUP("Total",FUT_6_Educ_Men,Age15_29, FALSE)-HLOOKUP("Not applicable",FUT_6_Educ_Men,Age15_29, FALSE)),":")</f>
        <v>:</v>
      </c>
      <c r="E127" s="54" t="str">
        <f>IFERROR(HLOOKUP($B127,FUT_6_Educ_Women,Age15_29, FALSE)/(HLOOKUP("Total",FUT_6_Educ_Women,Age15_29, FALSE)-HLOOKUP("Not applicable",FUT_6_Educ_Women,Age15_29, FALSE)),":")</f>
        <v>:</v>
      </c>
      <c r="F127" s="52" t="str">
        <f>IFERROR(HLOOKUP($B127,FUT_6_Educ_Tot,Age15_19, FALSE)/(HLOOKUP("Total",FUT_6_Educ_Tot,Age15_19, FALSE)-HLOOKUP("Not applicable",FUT_6_Educ_Tot,Age15_19, FALSE)),":")</f>
        <v>:</v>
      </c>
      <c r="G127" s="53" t="str">
        <f>IFERROR(HLOOKUP($B127,FUT_6_Educ_Men,Age15_19, FALSE)/(HLOOKUP("Total",FUT_6_Educ_Men,Age15_19, FALSE)-HLOOKUP("Not applicable",FUT_6_Educ_Men,Age15_19, FALSE)),":")</f>
        <v>:</v>
      </c>
      <c r="H127" s="54" t="str">
        <f>IFERROR(HLOOKUP($B127,FUT_6_Educ_Women,Age15_19, FALSE)/(HLOOKUP("Total",FUT_6_Educ_Women,Age15_19, FALSE)-HLOOKUP("Not applicable",FUT_6_Educ_Women,Age15_19, FALSE)),":")</f>
        <v>:</v>
      </c>
      <c r="I127" s="52" t="str">
        <f>IFERROR(HLOOKUP($B127,FUT_6_Educ_Tot,Age20_24, FALSE)/(HLOOKUP("Total",FUT_6_Educ_Tot,Age20_24, FALSE)-HLOOKUP("Not applicable",FUT_6_Educ_Tot,Age20_24, FALSE)),":")</f>
        <v>:</v>
      </c>
      <c r="J127" s="53" t="str">
        <f>IFERROR(HLOOKUP($B127,FUT_6_Educ_Men,Age20_24, FALSE)/(HLOOKUP("Total",FUT_6_Educ_Men,Age20_24, FALSE)-HLOOKUP("Not applicable",FUT_6_Educ_Men,Age20_24, FALSE)),":")</f>
        <v>:</v>
      </c>
      <c r="K127" s="54" t="str">
        <f>IFERROR(HLOOKUP($B127,FUT_6_Educ_Women,Age20_24, FALSE)/(HLOOKUP("Total",FUT_6_Educ_Women,Age20_24, FALSE)-HLOOKUP("Not applicable",FUT_6_Educ_Women,Age20_24, FALSE)),":")</f>
        <v>:</v>
      </c>
      <c r="L127" s="52" t="str">
        <f>IFERROR(HLOOKUP($B127,FUT_6_Educ_Tot,Age25_29, FALSE)/(HLOOKUP("Total",FUT_6_Educ_Tot,Age25_29, FALSE)-HLOOKUP("Not applicable",FUT_6_Educ_Tot,Age25_29, FALSE)),":")</f>
        <v>:</v>
      </c>
      <c r="M127" s="53" t="str">
        <f>IFERROR(HLOOKUP($B127,FUT_6_Educ_Men,Age25_29, FALSE)/(HLOOKUP("Total",FUT_6_Educ_Men,Age25_29, FALSE)-HLOOKUP("Not applicable",FUT_6_Educ_Men,Age25_29, FALSE)),":")</f>
        <v>:</v>
      </c>
      <c r="N127" s="54" t="str">
        <f>IFERROR(HLOOKUP($B127,FUT_6_Educ_Women,Age25_29, FALSE)/(HLOOKUP("Total",FUT_6_Educ_Women,Age25_29, FALSE)-HLOOKUP("Not applicable",FUT_6_Educ_Women,Age25_29, FALSE)),":")</f>
        <v>:</v>
      </c>
    </row>
    <row r="128" spans="1:14" outlineLevel="1" x14ac:dyDescent="0.35">
      <c r="A128" s="50"/>
      <c r="B128" s="60" t="s">
        <v>100</v>
      </c>
      <c r="C128" s="52" t="str">
        <f>IFERROR(HLOOKUP($B128,FUT_6_Educ_Tot,Age15_29, FALSE)/(HLOOKUP("Total",FUT_6_Educ_Tot,Age15_29, FALSE)-HLOOKUP("Not applicable",FUT_6_Educ_Tot,Age15_29, FALSE)),":")</f>
        <v>:</v>
      </c>
      <c r="D128" s="53" t="str">
        <f>IFERROR(HLOOKUP($B128,FUT_6_Educ_Men,Age15_29, FALSE)/(HLOOKUP("Total",FUT_6_Educ_Men,Age15_29, FALSE)-HLOOKUP("Not applicable",FUT_6_Educ_Men,Age15_29, FALSE)),":")</f>
        <v>:</v>
      </c>
      <c r="E128" s="54" t="str">
        <f>IFERROR(HLOOKUP($B128,FUT_6_Educ_Women,Age15_29, FALSE)/(HLOOKUP("Total",FUT_6_Educ_Women,Age15_29, FALSE)-HLOOKUP("Not applicable",FUT_6_Educ_Women,Age15_29, FALSE)),":")</f>
        <v>:</v>
      </c>
      <c r="F128" s="52" t="str">
        <f>IFERROR(HLOOKUP($B128,FUT_6_Educ_Tot,Age15_19, FALSE)/(HLOOKUP("Total",FUT_6_Educ_Tot,Age15_19, FALSE)-HLOOKUP("Not applicable",FUT_6_Educ_Tot,Age15_19, FALSE)),":")</f>
        <v>:</v>
      </c>
      <c r="G128" s="53" t="str">
        <f>IFERROR(HLOOKUP($B128,FUT_6_Educ_Men,Age15_19, FALSE)/(HLOOKUP("Total",FUT_6_Educ_Men,Age15_19, FALSE)-HLOOKUP("Not applicable",FUT_6_Educ_Men,Age15_19, FALSE)),":")</f>
        <v>:</v>
      </c>
      <c r="H128" s="54" t="str">
        <f>IFERROR(HLOOKUP($B128,FUT_6_Educ_Women,Age15_19, FALSE)/(HLOOKUP("Total",FUT_6_Educ_Women,Age15_19, FALSE)-HLOOKUP("Not applicable",FUT_6_Educ_Women,Age15_19, FALSE)),":")</f>
        <v>:</v>
      </c>
      <c r="I128" s="52" t="str">
        <f>IFERROR(HLOOKUP($B128,FUT_6_Educ_Tot,Age20_24, FALSE)/(HLOOKUP("Total",FUT_6_Educ_Tot,Age20_24, FALSE)-HLOOKUP("Not applicable",FUT_6_Educ_Tot,Age20_24, FALSE)),":")</f>
        <v>:</v>
      </c>
      <c r="J128" s="53" t="str">
        <f>IFERROR(HLOOKUP($B128,FUT_6_Educ_Men,Age20_24, FALSE)/(HLOOKUP("Total",FUT_6_Educ_Men,Age20_24, FALSE)-HLOOKUP("Not applicable",FUT_6_Educ_Men,Age20_24, FALSE)),":")</f>
        <v>:</v>
      </c>
      <c r="K128" s="54" t="str">
        <f>IFERROR(HLOOKUP($B128,FUT_6_Educ_Women,Age20_24, FALSE)/(HLOOKUP("Total",FUT_6_Educ_Women,Age20_24, FALSE)-HLOOKUP("Not applicable",FUT_6_Educ_Women,Age20_24, FALSE)),":")</f>
        <v>:</v>
      </c>
      <c r="L128" s="52" t="str">
        <f>IFERROR(HLOOKUP($B128,FUT_6_Educ_Tot,Age25_29, FALSE)/(HLOOKUP("Total",FUT_6_Educ_Tot,Age25_29, FALSE)-HLOOKUP("Not applicable",FUT_6_Educ_Tot,Age25_29, FALSE)),":")</f>
        <v>:</v>
      </c>
      <c r="M128" s="53" t="str">
        <f>IFERROR(HLOOKUP($B128,FUT_6_Educ_Men,Age25_29, FALSE)/(HLOOKUP("Total",FUT_6_Educ_Men,Age25_29, FALSE)-HLOOKUP("Not applicable",FUT_6_Educ_Men,Age25_29, FALSE)),":")</f>
        <v>:</v>
      </c>
      <c r="N128" s="54" t="str">
        <f>IFERROR(HLOOKUP($B128,FUT_6_Educ_Women,Age25_29, FALSE)/(HLOOKUP("Total",FUT_6_Educ_Women,Age25_29, FALSE)-HLOOKUP("Not applicable",FUT_6_Educ_Women,Age25_29, FALSE)),":")</f>
        <v>:</v>
      </c>
    </row>
    <row r="129" spans="1:14" ht="15" thickBot="1" x14ac:dyDescent="0.4">
      <c r="A129" s="105" t="s">
        <v>21</v>
      </c>
      <c r="B129" s="106"/>
      <c r="C129" s="107" t="str">
        <f>IFERROR(HLOOKUP($A129,FUT_6_Educ_Tot,Age15_29, FALSE)/(HLOOKUP("Total",FUT_6_Educ_Tot,Age15_29, FALSE)-HLOOKUP("Not applicable",FUT_6_Educ_Tot,Age15_29, FALSE)),":")</f>
        <v>:</v>
      </c>
      <c r="D129" s="108" t="str">
        <f>IFERROR(HLOOKUP($A129,FUT_6_Educ_Men,Age15_29, FALSE)/(HLOOKUP("Total",FUT_6_Educ_Men,Age15_29, FALSE)-HLOOKUP("Not applicable",FUT_6_Educ_Men,Age15_29, FALSE)),":")</f>
        <v>:</v>
      </c>
      <c r="E129" s="109" t="str">
        <f>IFERROR(HLOOKUP($A129,FUT_6_Educ_Women,Age15_29, FALSE)/(HLOOKUP("Total",FUT_6_Educ_Women,Age15_29, FALSE)-HLOOKUP("Not applicable",FUT_6_Educ_Women,Age15_29, FALSE)),":")</f>
        <v>:</v>
      </c>
      <c r="F129" s="107" t="str">
        <f>IFERROR(HLOOKUP($A129,FUT_6_Educ_Tot,Age15_19, FALSE)/(HLOOKUP("Total",FUT_6_Educ_Tot,Age15_19, FALSE)-HLOOKUP("Not applicable",FUT_6_Educ_Tot,Age15_19, FALSE)),":")</f>
        <v>:</v>
      </c>
      <c r="G129" s="108" t="str">
        <f>IFERROR(HLOOKUP($A129,FUT_6_Educ_Men,Age15_19, FALSE)/(HLOOKUP("Total",FUT_6_Educ_Men,Age15_19, FALSE)-HLOOKUP("Not applicable",FUT_6_Educ_Men,Age15_19, FALSE)),":")</f>
        <v>:</v>
      </c>
      <c r="H129" s="109" t="str">
        <f>IFERROR(HLOOKUP($A129,FUT_6_Educ_Women,Age15_19, FALSE)/(HLOOKUP("Total",FUT_6_Educ_Women,Age15_19, FALSE)-HLOOKUP("Not applicable",FUT_6_Educ_Women,Age15_19, FALSE)),":")</f>
        <v>:</v>
      </c>
      <c r="I129" s="107" t="str">
        <f>IFERROR(HLOOKUP($A129,FUT_6_Educ_Tot,Age20_24, FALSE)/(HLOOKUP("Total",FUT_6_Educ_Tot,Age20_24, FALSE)-HLOOKUP("Not applicable",FUT_6_Educ_Tot,Age20_24, FALSE)),":")</f>
        <v>:</v>
      </c>
      <c r="J129" s="108" t="str">
        <f>IFERROR(HLOOKUP($A129,FUT_6_Educ_Men,Age20_24, FALSE)/(HLOOKUP("Total",FUT_6_Educ_Men,Age20_24, FALSE)-HLOOKUP("Not applicable",FUT_6_Educ_Men,Age20_24, FALSE)),":")</f>
        <v>:</v>
      </c>
      <c r="K129" s="109" t="str">
        <f>IFERROR(HLOOKUP($A129,FUT_6_Educ_Women,Age20_24, FALSE)/(HLOOKUP("Total",FUT_6_Educ_Women,Age20_24, FALSE)-HLOOKUP("Not applicable",FUT_6_Educ_Women,Age20_24, FALSE)),":")</f>
        <v>:</v>
      </c>
      <c r="L129" s="107" t="str">
        <f>IFERROR(HLOOKUP($A129,FUT_6_Educ_Tot,Age25_29, FALSE)/(HLOOKUP("Total",FUT_6_Educ_Tot,Age25_29, FALSE)-HLOOKUP("Not applicable",FUT_6_Educ_Tot,Age25_29, FALSE)),":")</f>
        <v>:</v>
      </c>
      <c r="M129" s="108" t="str">
        <f>IFERROR(HLOOKUP($A129,FUT_6_Educ_Men,Age25_29, FALSE)/(HLOOKUP("Total",FUT_6_Educ_Men,Age25_29, FALSE)-HLOOKUP("Not applicable",FUT_6_Educ_Men,Age25_29, FALSE)),":")</f>
        <v>:</v>
      </c>
      <c r="N129" s="109" t="str">
        <f>IFERROR(HLOOKUP($A129,FUT_6_Educ_Women,Age25_29, FALSE)/(HLOOKUP("Total",FUT_6_Educ_Women,Age25_29, FALSE)-HLOOKUP("Not applicable",FUT_6_Educ_Women,Age25_29, FALSE)),":")</f>
        <v>:</v>
      </c>
    </row>
    <row r="130" spans="1:14" ht="15.5" thickTop="1" thickBot="1" x14ac:dyDescent="0.4"/>
    <row r="131" spans="1:14" ht="15.75" customHeight="1" thickTop="1" x14ac:dyDescent="0.35">
      <c r="A131" s="361" t="s">
        <v>196</v>
      </c>
      <c r="B131" s="369"/>
      <c r="C131" s="365" t="s">
        <v>240</v>
      </c>
      <c r="D131" s="366"/>
      <c r="E131" s="367"/>
      <c r="F131" s="365" t="s">
        <v>11</v>
      </c>
      <c r="G131" s="366"/>
      <c r="H131" s="367"/>
      <c r="I131" s="368" t="s">
        <v>13</v>
      </c>
      <c r="J131" s="366"/>
      <c r="K131" s="367"/>
      <c r="L131" s="365" t="s">
        <v>239</v>
      </c>
      <c r="M131" s="366"/>
      <c r="N131" s="373"/>
    </row>
    <row r="132" spans="1:14" x14ac:dyDescent="0.35">
      <c r="A132" s="363"/>
      <c r="B132" s="370"/>
      <c r="C132" s="49" t="s">
        <v>3</v>
      </c>
      <c r="D132" s="47" t="s">
        <v>4</v>
      </c>
      <c r="E132" s="48" t="s">
        <v>5</v>
      </c>
      <c r="F132" s="49" t="s">
        <v>3</v>
      </c>
      <c r="G132" s="47" t="s">
        <v>4</v>
      </c>
      <c r="H132" s="48" t="s">
        <v>5</v>
      </c>
      <c r="I132" s="46" t="s">
        <v>3</v>
      </c>
      <c r="J132" s="47" t="s">
        <v>4</v>
      </c>
      <c r="K132" s="48" t="s">
        <v>5</v>
      </c>
      <c r="L132" s="49" t="s">
        <v>3</v>
      </c>
      <c r="M132" s="47" t="s">
        <v>4</v>
      </c>
      <c r="N132" s="204" t="s">
        <v>5</v>
      </c>
    </row>
    <row r="133" spans="1:14" x14ac:dyDescent="0.35">
      <c r="A133" s="99" t="s">
        <v>193</v>
      </c>
      <c r="B133" s="100"/>
      <c r="C133" s="101" t="str">
        <f t="shared" ref="C133:E133" si="48">IF(COUNT(C134:C137)&gt;0,SUM(C134:C137),":")</f>
        <v>:</v>
      </c>
      <c r="D133" s="102" t="str">
        <f t="shared" si="48"/>
        <v>:</v>
      </c>
      <c r="E133" s="103" t="str">
        <f t="shared" si="48"/>
        <v>:</v>
      </c>
      <c r="F133" s="101" t="str">
        <f t="shared" ref="F133:K133" si="49">IF(COUNT(F134:F137)&gt;0,SUM(F134:F137),":")</f>
        <v>:</v>
      </c>
      <c r="G133" s="102" t="str">
        <f t="shared" si="49"/>
        <v>:</v>
      </c>
      <c r="H133" s="103" t="str">
        <f t="shared" si="49"/>
        <v>:</v>
      </c>
      <c r="I133" s="101" t="str">
        <f t="shared" si="49"/>
        <v>:</v>
      </c>
      <c r="J133" s="102" t="str">
        <f t="shared" si="49"/>
        <v>:</v>
      </c>
      <c r="K133" s="103" t="str">
        <f t="shared" si="49"/>
        <v>:</v>
      </c>
      <c r="L133" s="101" t="str">
        <f t="shared" ref="L133:N133" si="50">IF(COUNT(L134:L137)&gt;0,SUM(L134:L137),":")</f>
        <v>:</v>
      </c>
      <c r="M133" s="102" t="str">
        <f t="shared" si="50"/>
        <v>:</v>
      </c>
      <c r="N133" s="103" t="str">
        <f t="shared" si="50"/>
        <v>:</v>
      </c>
    </row>
    <row r="134" spans="1:14" outlineLevel="1" x14ac:dyDescent="0.35">
      <c r="A134" s="50"/>
      <c r="B134" s="60" t="s">
        <v>15</v>
      </c>
      <c r="C134" s="52" t="str">
        <f>IFERROR(HLOOKUP($B134,FUT_12_Educ_Tot,Age15_29, FALSE)/(HLOOKUP("Total",FUT_12_Educ_Tot,Age15_29, FALSE)-HLOOKUP("Not applicable",FUT_12_Educ_Tot,Age15_29, FALSE)),":")</f>
        <v>:</v>
      </c>
      <c r="D134" s="53" t="str">
        <f>IFERROR(HLOOKUP($B134,FUT_12_Educ_Men,Age15_29, FALSE)/(HLOOKUP("Total",FUT_12_Educ_Men,Age15_29, FALSE)-HLOOKUP("Not applicable",FUT_12_Educ_Men,Age15_29, FALSE)),":")</f>
        <v>:</v>
      </c>
      <c r="E134" s="54" t="str">
        <f>IFERROR(HLOOKUP($B134,FUT_12_Educ_Women,Age15_29, FALSE)/(HLOOKUP("Total",FUT_12_Educ_Women,Age15_29, FALSE)-HLOOKUP("Not applicable",FUT_12_Educ_Women,Age15_29, FALSE)),":")</f>
        <v>:</v>
      </c>
      <c r="F134" s="52" t="str">
        <f>IFERROR(HLOOKUP($B134,FUT_12_Educ_Tot,Age15_19, FALSE)/(HLOOKUP("Total",FUT_12_Educ_Tot,Age15_19, FALSE)-HLOOKUP("Not applicable",FUT_12_Educ_Tot,Age15_19, FALSE)),":")</f>
        <v>:</v>
      </c>
      <c r="G134" s="53" t="str">
        <f>IFERROR(HLOOKUP($B134,FUT_12_Educ_Men,Age15_19, FALSE)/(HLOOKUP("Total",FUT_12_Educ_Men,Age15_19, FALSE)-HLOOKUP("Not applicable",FUT_12_Educ_Men,Age15_19, FALSE)),":")</f>
        <v>:</v>
      </c>
      <c r="H134" s="54" t="str">
        <f>IFERROR(HLOOKUP($B134,FUT_12_Educ_Women,Age15_19, FALSE)/(HLOOKUP("Total",FUT_12_Educ_Women,Age15_19, FALSE)-HLOOKUP("Not applicable",FUT_12_Educ_Women,Age15_19, FALSE)),":")</f>
        <v>:</v>
      </c>
      <c r="I134" s="52" t="str">
        <f>IFERROR(HLOOKUP($B134,FUT_12_Educ_Tot,Age20_24, FALSE)/(HLOOKUP("Total",FUT_12_Educ_Tot,Age20_24, FALSE)-HLOOKUP("Not applicable",FUT_12_Educ_Tot,Age20_24, FALSE)),":")</f>
        <v>:</v>
      </c>
      <c r="J134" s="53" t="str">
        <f>IFERROR(HLOOKUP($B134,FUT_12_Educ_Men,Age20_24, FALSE)/(HLOOKUP("Total",FUT_12_Educ_Men,Age20_24, FALSE)-HLOOKUP("Not applicable",FUT_12_Educ_Men,Age20_24, FALSE)),":")</f>
        <v>:</v>
      </c>
      <c r="K134" s="54" t="str">
        <f>IFERROR(HLOOKUP($B134,FUT_12_Educ_Women,Age20_24, FALSE)/(HLOOKUP("Total",FUT_12_Educ_Women,Age20_24, FALSE)-HLOOKUP("Not applicable",FUT_12_Educ_Women,Age20_24, FALSE)),":")</f>
        <v>:</v>
      </c>
      <c r="L134" s="52" t="str">
        <f>IFERROR(HLOOKUP($B134,FUT_12_Educ_Tot,Age25_29, FALSE)/(HLOOKUP("Total",FUT_12_Educ_Tot,Age25_29, FALSE)-HLOOKUP("Not applicable",FUT_12_Educ_Tot,Age25_29, FALSE)),":")</f>
        <v>:</v>
      </c>
      <c r="M134" s="53" t="str">
        <f>IFERROR(HLOOKUP($B134,FUT_12_Educ_Men,Age25_29, FALSE)/(HLOOKUP("Total",FUT_12_Educ_Men,Age25_29, FALSE)-HLOOKUP("Not applicable",FUT_12_Educ_Men,Age25_29, FALSE)),":")</f>
        <v>:</v>
      </c>
      <c r="N134" s="54" t="str">
        <f>IFERROR(HLOOKUP($B134,FUT_12_Educ_Women,Age25_29, FALSE)/(HLOOKUP("Total",FUT_12_Educ_Women,Age25_29, FALSE)-HLOOKUP("Not applicable",FUT_12_Educ_Women,Age25_29, FALSE)),":")</f>
        <v>:</v>
      </c>
    </row>
    <row r="135" spans="1:14" outlineLevel="1" x14ac:dyDescent="0.35">
      <c r="A135" s="50"/>
      <c r="B135" s="60" t="s">
        <v>16</v>
      </c>
      <c r="C135" s="52" t="str">
        <f>IFERROR(HLOOKUP($B135,FUT_12_Educ_Tot,Age15_29, FALSE)/(HLOOKUP("Total",FUT_12_Educ_Tot,Age15_29, FALSE)-HLOOKUP("Not applicable",FUT_12_Educ_Tot,Age15_29, FALSE)),":")</f>
        <v>:</v>
      </c>
      <c r="D135" s="53" t="str">
        <f>IFERROR(HLOOKUP($B135,FUT_12_Educ_Men,Age15_29, FALSE)/(HLOOKUP("Total",FUT_12_Educ_Men,Age15_29, FALSE)-HLOOKUP("Not applicable",FUT_12_Educ_Men,Age15_29, FALSE)),":")</f>
        <v>:</v>
      </c>
      <c r="E135" s="54" t="str">
        <f>IFERROR(HLOOKUP($B135,FUT_12_Educ_Women,Age15_29, FALSE)/(HLOOKUP("Total",FUT_12_Educ_Women,Age15_29, FALSE)-HLOOKUP("Not applicable",FUT_12_Educ_Women,Age15_29, FALSE)),":")</f>
        <v>:</v>
      </c>
      <c r="F135" s="52" t="str">
        <f>IFERROR(HLOOKUP($B135,FUT_12_Educ_Tot,Age15_19, FALSE)/(HLOOKUP("Total",FUT_12_Educ_Tot,Age15_19, FALSE)-HLOOKUP("Not applicable",FUT_12_Educ_Tot,Age15_19, FALSE)),":")</f>
        <v>:</v>
      </c>
      <c r="G135" s="53" t="str">
        <f>IFERROR(HLOOKUP($B135,FUT_12_Educ_Men,Age15_19, FALSE)/(HLOOKUP("Total",FUT_12_Educ_Men,Age15_19, FALSE)-HLOOKUP("Not applicable",FUT_12_Educ_Men,Age15_19, FALSE)),":")</f>
        <v>:</v>
      </c>
      <c r="H135" s="54" t="str">
        <f>IFERROR(HLOOKUP($B135,FUT_12_Educ_Women,Age15_19, FALSE)/(HLOOKUP("Total",FUT_12_Educ_Women,Age15_19, FALSE)-HLOOKUP("Not applicable",FUT_12_Educ_Women,Age15_19, FALSE)),":")</f>
        <v>:</v>
      </c>
      <c r="I135" s="52" t="str">
        <f>IFERROR(HLOOKUP($B135,FUT_12_Educ_Tot,Age20_24, FALSE)/(HLOOKUP("Total",FUT_12_Educ_Tot,Age20_24, FALSE)-HLOOKUP("Not applicable",FUT_12_Educ_Tot,Age20_24, FALSE)),":")</f>
        <v>:</v>
      </c>
      <c r="J135" s="53" t="str">
        <f>IFERROR(HLOOKUP($B135,FUT_12_Educ_Men,Age20_24, FALSE)/(HLOOKUP("Total",FUT_12_Educ_Men,Age20_24, FALSE)-HLOOKUP("Not applicable",FUT_12_Educ_Men,Age20_24, FALSE)),":")</f>
        <v>:</v>
      </c>
      <c r="K135" s="54" t="str">
        <f>IFERROR(HLOOKUP($B135,FUT_12_Educ_Women,Age20_24, FALSE)/(HLOOKUP("Total",FUT_12_Educ_Women,Age20_24, FALSE)-HLOOKUP("Not applicable",FUT_12_Educ_Women,Age20_24, FALSE)),":")</f>
        <v>:</v>
      </c>
      <c r="L135" s="52" t="str">
        <f>IFERROR(HLOOKUP($B135,FUT_12_Educ_Tot,Age25_29, FALSE)/(HLOOKUP("Total",FUT_12_Educ_Tot,Age25_29, FALSE)-HLOOKUP("Not applicable",FUT_12_Educ_Tot,Age25_29, FALSE)),":")</f>
        <v>:</v>
      </c>
      <c r="M135" s="53" t="str">
        <f>IFERROR(HLOOKUP($B135,FUT_12_Educ_Men,Age25_29, FALSE)/(HLOOKUP("Total",FUT_12_Educ_Men,Age25_29, FALSE)-HLOOKUP("Not applicable",FUT_12_Educ_Men,Age25_29, FALSE)),":")</f>
        <v>:</v>
      </c>
      <c r="N135" s="54" t="str">
        <f>IFERROR(HLOOKUP($B135,FUT_12_Educ_Women,Age25_29, FALSE)/(HLOOKUP("Total",FUT_12_Educ_Women,Age25_29, FALSE)-HLOOKUP("Not applicable",FUT_12_Educ_Women,Age25_29, FALSE)),":")</f>
        <v>:</v>
      </c>
    </row>
    <row r="136" spans="1:14" outlineLevel="1" x14ac:dyDescent="0.35">
      <c r="A136" s="50"/>
      <c r="B136" s="60" t="s">
        <v>17</v>
      </c>
      <c r="C136" s="52" t="str">
        <f>IFERROR(HLOOKUP($B136,FUT_12_Educ_Tot,Age15_29, FALSE)/(HLOOKUP("Total",FUT_12_Educ_Tot,Age15_29, FALSE)-HLOOKUP("Not applicable",FUT_12_Educ_Tot,Age15_29, FALSE)),":")</f>
        <v>:</v>
      </c>
      <c r="D136" s="53" t="str">
        <f>IFERROR(HLOOKUP($B136,FUT_12_Educ_Men,Age15_29, FALSE)/(HLOOKUP("Total",FUT_12_Educ_Men,Age15_29, FALSE)-HLOOKUP("Not applicable",FUT_12_Educ_Men,Age15_29, FALSE)),":")</f>
        <v>:</v>
      </c>
      <c r="E136" s="54" t="str">
        <f>IFERROR(HLOOKUP($B136,FUT_12_Educ_Women,Age15_29, FALSE)/(HLOOKUP("Total",FUT_12_Educ_Women,Age15_29, FALSE)-HLOOKUP("Not applicable",FUT_12_Educ_Women,Age15_29, FALSE)),":")</f>
        <v>:</v>
      </c>
      <c r="F136" s="52" t="str">
        <f>IFERROR(HLOOKUP($B136,FUT_12_Educ_Tot,Age15_19, FALSE)/(HLOOKUP("Total",FUT_12_Educ_Tot,Age15_19, FALSE)-HLOOKUP("Not applicable",FUT_12_Educ_Tot,Age15_19, FALSE)),":")</f>
        <v>:</v>
      </c>
      <c r="G136" s="53" t="str">
        <f>IFERROR(HLOOKUP($B136,FUT_12_Educ_Men,Age15_19, FALSE)/(HLOOKUP("Total",FUT_12_Educ_Men,Age15_19, FALSE)-HLOOKUP("Not applicable",FUT_12_Educ_Men,Age15_19, FALSE)),":")</f>
        <v>:</v>
      </c>
      <c r="H136" s="54" t="str">
        <f>IFERROR(HLOOKUP($B136,FUT_12_Educ_Women,Age15_19, FALSE)/(HLOOKUP("Total",FUT_12_Educ_Women,Age15_19, FALSE)-HLOOKUP("Not applicable",FUT_12_Educ_Women,Age15_19, FALSE)),":")</f>
        <v>:</v>
      </c>
      <c r="I136" s="52" t="str">
        <f>IFERROR(HLOOKUP($B136,FUT_12_Educ_Tot,Age20_24, FALSE)/(HLOOKUP("Total",FUT_12_Educ_Tot,Age20_24, FALSE)-HLOOKUP("Not applicable",FUT_12_Educ_Tot,Age20_24, FALSE)),":")</f>
        <v>:</v>
      </c>
      <c r="J136" s="53" t="str">
        <f>IFERROR(HLOOKUP($B136,FUT_12_Educ_Men,Age20_24, FALSE)/(HLOOKUP("Total",FUT_12_Educ_Men,Age20_24, FALSE)-HLOOKUP("Not applicable",FUT_12_Educ_Men,Age20_24, FALSE)),":")</f>
        <v>:</v>
      </c>
      <c r="K136" s="54" t="str">
        <f>IFERROR(HLOOKUP($B136,FUT_12_Educ_Women,Age20_24, FALSE)/(HLOOKUP("Total",FUT_12_Educ_Women,Age20_24, FALSE)-HLOOKUP("Not applicable",FUT_12_Educ_Women,Age20_24, FALSE)),":")</f>
        <v>:</v>
      </c>
      <c r="L136" s="52" t="str">
        <f>IFERROR(HLOOKUP($B136,FUT_12_Educ_Tot,Age25_29, FALSE)/(HLOOKUP("Total",FUT_12_Educ_Tot,Age25_29, FALSE)-HLOOKUP("Not applicable",FUT_12_Educ_Tot,Age25_29, FALSE)),":")</f>
        <v>:</v>
      </c>
      <c r="M136" s="53" t="str">
        <f>IFERROR(HLOOKUP($B136,FUT_12_Educ_Men,Age25_29, FALSE)/(HLOOKUP("Total",FUT_12_Educ_Men,Age25_29, FALSE)-HLOOKUP("Not applicable",FUT_12_Educ_Men,Age25_29, FALSE)),":")</f>
        <v>:</v>
      </c>
      <c r="N136" s="54" t="str">
        <f>IFERROR(HLOOKUP($B136,FUT_12_Educ_Women,Age25_29, FALSE)/(HLOOKUP("Total",FUT_12_Educ_Women,Age25_29, FALSE)-HLOOKUP("Not applicable",FUT_12_Educ_Women,Age25_29, FALSE)),":")</f>
        <v>:</v>
      </c>
    </row>
    <row r="137" spans="1:14" outlineLevel="1" x14ac:dyDescent="0.35">
      <c r="A137" s="50"/>
      <c r="B137" s="60" t="s">
        <v>18</v>
      </c>
      <c r="C137" s="52" t="str">
        <f>IFERROR(HLOOKUP($B137,FUT_12_Educ_Tot,Age15_29, FALSE)/(HLOOKUP("Total",FUT_12_Educ_Tot,Age15_29, FALSE)-HLOOKUP("Not applicable",FUT_12_Educ_Tot,Age15_29, FALSE)),":")</f>
        <v>:</v>
      </c>
      <c r="D137" s="53" t="str">
        <f>IFERROR(HLOOKUP($B137,FUT_12_Educ_Men,Age15_29, FALSE)/(HLOOKUP("Total",FUT_12_Educ_Men,Age15_29, FALSE)-HLOOKUP("Not applicable",FUT_12_Educ_Men,Age15_29, FALSE)),":")</f>
        <v>:</v>
      </c>
      <c r="E137" s="54" t="str">
        <f>IFERROR(HLOOKUP($B137,FUT_12_Educ_Women,Age15_29, FALSE)/(HLOOKUP("Total",FUT_12_Educ_Women,Age15_29, FALSE)-HLOOKUP("Not applicable",FUT_12_Educ_Women,Age15_29, FALSE)),":")</f>
        <v>:</v>
      </c>
      <c r="F137" s="52" t="str">
        <f>IFERROR(HLOOKUP($B137,FUT_12_Educ_Tot,Age15_19, FALSE)/(HLOOKUP("Total",FUT_12_Educ_Tot,Age15_19, FALSE)-HLOOKUP("Not applicable",FUT_12_Educ_Tot,Age15_19, FALSE)),":")</f>
        <v>:</v>
      </c>
      <c r="G137" s="53" t="str">
        <f>IFERROR(HLOOKUP($B137,FUT_12_Educ_Men,Age15_19, FALSE)/(HLOOKUP("Total",FUT_12_Educ_Men,Age15_19, FALSE)-HLOOKUP("Not applicable",FUT_12_Educ_Men,Age15_19, FALSE)),":")</f>
        <v>:</v>
      </c>
      <c r="H137" s="54" t="str">
        <f>IFERROR(HLOOKUP($B137,FUT_12_Educ_Women,Age15_19, FALSE)/(HLOOKUP("Total",FUT_12_Educ_Women,Age15_19, FALSE)-HLOOKUP("Not applicable",FUT_12_Educ_Women,Age15_19, FALSE)),":")</f>
        <v>:</v>
      </c>
      <c r="I137" s="52" t="str">
        <f>IFERROR(HLOOKUP($B137,FUT_12_Educ_Tot,Age20_24, FALSE)/(HLOOKUP("Total",FUT_12_Educ_Tot,Age20_24, FALSE)-HLOOKUP("Not applicable",FUT_12_Educ_Tot,Age20_24, FALSE)),":")</f>
        <v>:</v>
      </c>
      <c r="J137" s="53" t="str">
        <f>IFERROR(HLOOKUP($B137,FUT_12_Educ_Men,Age20_24, FALSE)/(HLOOKUP("Total",FUT_12_Educ_Men,Age20_24, FALSE)-HLOOKUP("Not applicable",FUT_12_Educ_Men,Age20_24, FALSE)),":")</f>
        <v>:</v>
      </c>
      <c r="K137" s="54" t="str">
        <f>IFERROR(HLOOKUP($B137,FUT_12_Educ_Women,Age20_24, FALSE)/(HLOOKUP("Total",FUT_12_Educ_Women,Age20_24, FALSE)-HLOOKUP("Not applicable",FUT_12_Educ_Women,Age20_24, FALSE)),":")</f>
        <v>:</v>
      </c>
      <c r="L137" s="52" t="str">
        <f>IFERROR(HLOOKUP($B137,FUT_12_Educ_Tot,Age25_29, FALSE)/(HLOOKUP("Total",FUT_12_Educ_Tot,Age25_29, FALSE)-HLOOKUP("Not applicable",FUT_12_Educ_Tot,Age25_29, FALSE)),":")</f>
        <v>:</v>
      </c>
      <c r="M137" s="53" t="str">
        <f>IFERROR(HLOOKUP($B137,FUT_12_Educ_Men,Age25_29, FALSE)/(HLOOKUP("Total",FUT_12_Educ_Men,Age25_29, FALSE)-HLOOKUP("Not applicable",FUT_12_Educ_Men,Age25_29, FALSE)),":")</f>
        <v>:</v>
      </c>
      <c r="N137" s="54" t="str">
        <f>IFERROR(HLOOKUP($B137,FUT_12_Educ_Women,Age25_29, FALSE)/(HLOOKUP("Total",FUT_12_Educ_Women,Age25_29, FALSE)-HLOOKUP("Not applicable",FUT_12_Educ_Women,Age25_29, FALSE)),":")</f>
        <v>:</v>
      </c>
    </row>
    <row r="138" spans="1:14" x14ac:dyDescent="0.35">
      <c r="A138" s="99" t="s">
        <v>194</v>
      </c>
      <c r="B138" s="104"/>
      <c r="C138" s="101" t="str">
        <f t="shared" ref="C138:E138" si="51">IF(COUNT(C139:C140)&gt;0,SUM(C139:C140),":")</f>
        <v>:</v>
      </c>
      <c r="D138" s="102" t="str">
        <f t="shared" si="51"/>
        <v>:</v>
      </c>
      <c r="E138" s="103" t="str">
        <f t="shared" si="51"/>
        <v>:</v>
      </c>
      <c r="F138" s="101" t="str">
        <f t="shared" ref="F138:K138" si="52">IF(COUNT(F139:F140)&gt;0,SUM(F139:F140),":")</f>
        <v>:</v>
      </c>
      <c r="G138" s="102" t="str">
        <f t="shared" si="52"/>
        <v>:</v>
      </c>
      <c r="H138" s="103" t="str">
        <f t="shared" si="52"/>
        <v>:</v>
      </c>
      <c r="I138" s="101" t="str">
        <f t="shared" si="52"/>
        <v>:</v>
      </c>
      <c r="J138" s="102" t="str">
        <f t="shared" si="52"/>
        <v>:</v>
      </c>
      <c r="K138" s="103" t="str">
        <f t="shared" si="52"/>
        <v>:</v>
      </c>
      <c r="L138" s="101" t="str">
        <f t="shared" ref="L138:N138" si="53">IF(COUNT(L139:L140)&gt;0,SUM(L139:L140),":")</f>
        <v>:</v>
      </c>
      <c r="M138" s="102" t="str">
        <f t="shared" si="53"/>
        <v>:</v>
      </c>
      <c r="N138" s="103" t="str">
        <f t="shared" si="53"/>
        <v>:</v>
      </c>
    </row>
    <row r="139" spans="1:14" outlineLevel="1" x14ac:dyDescent="0.35">
      <c r="A139" s="50"/>
      <c r="B139" s="60" t="s">
        <v>20</v>
      </c>
      <c r="C139" s="52" t="str">
        <f>IFERROR(HLOOKUP($B139,FUT_12_Educ_Tot,Age15_29, FALSE)/(HLOOKUP("Total",FUT_12_Educ_Tot,Age15_29, FALSE)-HLOOKUP("Not applicable",FUT_12_Educ_Tot,Age15_29, FALSE)),":")</f>
        <v>:</v>
      </c>
      <c r="D139" s="53" t="str">
        <f>IFERROR(HLOOKUP($B139,FUT_12_Educ_Men,Age15_29, FALSE)/(HLOOKUP("Total",FUT_12_Educ_Men,Age15_29, FALSE)-HLOOKUP("Not applicable",FUT_12_Educ_Men,Age15_29, FALSE)),":")</f>
        <v>:</v>
      </c>
      <c r="E139" s="54" t="str">
        <f>IFERROR(HLOOKUP($B139,FUT_12_Educ_Women,Age15_29, FALSE)/(HLOOKUP("Total",FUT_12_Educ_Women,Age15_29, FALSE)-HLOOKUP("Not applicable",FUT_12_Educ_Women,Age15_29, FALSE)),":")</f>
        <v>:</v>
      </c>
      <c r="F139" s="52" t="str">
        <f>IFERROR(HLOOKUP($B139,FUT_12_Educ_Tot,Age15_19, FALSE)/(HLOOKUP("Total",FUT_12_Educ_Tot,Age15_19, FALSE)-HLOOKUP("Not applicable",FUT_12_Educ_Tot,Age15_19, FALSE)),":")</f>
        <v>:</v>
      </c>
      <c r="G139" s="53" t="str">
        <f>IFERROR(HLOOKUP($B139,FUT_12_Educ_Men,Age15_19, FALSE)/(HLOOKUP("Total",FUT_12_Educ_Men,Age15_19, FALSE)-HLOOKUP("Not applicable",FUT_12_Educ_Men,Age15_19, FALSE)),":")</f>
        <v>:</v>
      </c>
      <c r="H139" s="54" t="str">
        <f>IFERROR(HLOOKUP($B139,FUT_12_Educ_Women,Age15_19, FALSE)/(HLOOKUP("Total",FUT_12_Educ_Women,Age15_19, FALSE)-HLOOKUP("Not applicable",FUT_12_Educ_Women,Age15_19, FALSE)),":")</f>
        <v>:</v>
      </c>
      <c r="I139" s="52" t="str">
        <f>IFERROR(HLOOKUP($B139,FUT_12_Educ_Tot,Age20_24, FALSE)/(HLOOKUP("Total",FUT_12_Educ_Tot,Age20_24, FALSE)-HLOOKUP("Not applicable",FUT_12_Educ_Tot,Age20_24, FALSE)),":")</f>
        <v>:</v>
      </c>
      <c r="J139" s="53" t="str">
        <f>IFERROR(HLOOKUP($B139,FUT_12_Educ_Men,Age20_24, FALSE)/(HLOOKUP("Total",FUT_12_Educ_Men,Age20_24, FALSE)-HLOOKUP("Not applicable",FUT_12_Educ_Men,Age20_24, FALSE)),":")</f>
        <v>:</v>
      </c>
      <c r="K139" s="54" t="str">
        <f>IFERROR(HLOOKUP($B139,FUT_12_Educ_Women,Age20_24, FALSE)/(HLOOKUP("Total",FUT_12_Educ_Women,Age20_24, FALSE)-HLOOKUP("Not applicable",FUT_12_Educ_Women,Age20_24, FALSE)),":")</f>
        <v>:</v>
      </c>
      <c r="L139" s="52" t="str">
        <f>IFERROR(HLOOKUP($B139,FUT_12_Educ_Tot,Age25_29, FALSE)/(HLOOKUP("Total",FUT_12_Educ_Tot,Age25_29, FALSE)-HLOOKUP("Not applicable",FUT_12_Educ_Tot,Age25_29, FALSE)),":")</f>
        <v>:</v>
      </c>
      <c r="M139" s="53" t="str">
        <f>IFERROR(HLOOKUP($B139,FUT_12_Educ_Men,Age25_29, FALSE)/(HLOOKUP("Total",FUT_12_Educ_Men,Age25_29, FALSE)-HLOOKUP("Not applicable",FUT_12_Educ_Men,Age25_29, FALSE)),":")</f>
        <v>:</v>
      </c>
      <c r="N139" s="54" t="str">
        <f>IFERROR(HLOOKUP($B139,FUT_12_Educ_Women,Age25_29, FALSE)/(HLOOKUP("Total",FUT_12_Educ_Women,Age25_29, FALSE)-HLOOKUP("Not applicable",FUT_12_Educ_Women,Age25_29, FALSE)),":")</f>
        <v>:</v>
      </c>
    </row>
    <row r="140" spans="1:14" outlineLevel="1" x14ac:dyDescent="0.35">
      <c r="A140" s="50"/>
      <c r="B140" s="60" t="s">
        <v>100</v>
      </c>
      <c r="C140" s="52" t="str">
        <f>IFERROR(HLOOKUP($B140,FUT_12_Educ_Tot,Age15_29, FALSE)/(HLOOKUP("Total",FUT_12_Educ_Tot,Age15_29, FALSE)-HLOOKUP("Not applicable",FUT_12_Educ_Tot,Age15_29, FALSE)),":")</f>
        <v>:</v>
      </c>
      <c r="D140" s="53" t="str">
        <f>IFERROR(HLOOKUP($B140,FUT_12_Educ_Men,Age15_29, FALSE)/(HLOOKUP("Total",FUT_12_Educ_Men,Age15_29, FALSE)-HLOOKUP("Not applicable",FUT_12_Educ_Men,Age15_29, FALSE)),":")</f>
        <v>:</v>
      </c>
      <c r="E140" s="54" t="str">
        <f>IFERROR(HLOOKUP($B140,FUT_12_Educ_Women,Age15_29, FALSE)/(HLOOKUP("Total",FUT_12_Educ_Women,Age15_29, FALSE)-HLOOKUP("Not applicable",FUT_12_Educ_Women,Age15_29, FALSE)),":")</f>
        <v>:</v>
      </c>
      <c r="F140" s="52" t="str">
        <f>IFERROR(HLOOKUP($B140,FUT_12_Educ_Tot,Age15_19, FALSE)/(HLOOKUP("Total",FUT_12_Educ_Tot,Age15_19, FALSE)-HLOOKUP("Not applicable",FUT_12_Educ_Tot,Age15_19, FALSE)),":")</f>
        <v>:</v>
      </c>
      <c r="G140" s="53" t="str">
        <f>IFERROR(HLOOKUP($B140,FUT_12_Educ_Men,Age15_19, FALSE)/(HLOOKUP("Total",FUT_12_Educ_Men,Age15_19, FALSE)-HLOOKUP("Not applicable",FUT_12_Educ_Men,Age15_19, FALSE)),":")</f>
        <v>:</v>
      </c>
      <c r="H140" s="54" t="str">
        <f>IFERROR(HLOOKUP($B140,FUT_12_Educ_Women,Age15_19, FALSE)/(HLOOKUP("Total",FUT_12_Educ_Women,Age15_19, FALSE)-HLOOKUP("Not applicable",FUT_12_Educ_Women,Age15_19, FALSE)),":")</f>
        <v>:</v>
      </c>
      <c r="I140" s="52" t="str">
        <f>IFERROR(HLOOKUP($B140,FUT_12_Educ_Tot,Age20_24, FALSE)/(HLOOKUP("Total",FUT_12_Educ_Tot,Age20_24, FALSE)-HLOOKUP("Not applicable",FUT_12_Educ_Tot,Age20_24, FALSE)),":")</f>
        <v>:</v>
      </c>
      <c r="J140" s="53" t="str">
        <f>IFERROR(HLOOKUP($B140,FUT_12_Educ_Men,Age20_24, FALSE)/(HLOOKUP("Total",FUT_12_Educ_Men,Age20_24, FALSE)-HLOOKUP("Not applicable",FUT_12_Educ_Men,Age20_24, FALSE)),":")</f>
        <v>:</v>
      </c>
      <c r="K140" s="54" t="str">
        <f>IFERROR(HLOOKUP($B140,FUT_12_Educ_Women,Age20_24, FALSE)/(HLOOKUP("Total",FUT_12_Educ_Women,Age20_24, FALSE)-HLOOKUP("Not applicable",FUT_12_Educ_Women,Age20_24, FALSE)),":")</f>
        <v>:</v>
      </c>
      <c r="L140" s="52" t="str">
        <f>IFERROR(HLOOKUP($B140,FUT_12_Educ_Tot,Age25_29, FALSE)/(HLOOKUP("Total",FUT_12_Educ_Tot,Age25_29, FALSE)-HLOOKUP("Not applicable",FUT_12_Educ_Tot,Age25_29, FALSE)),":")</f>
        <v>:</v>
      </c>
      <c r="M140" s="53" t="str">
        <f>IFERROR(HLOOKUP($B140,FUT_12_Educ_Men,Age25_29, FALSE)/(HLOOKUP("Total",FUT_12_Educ_Men,Age25_29, FALSE)-HLOOKUP("Not applicable",FUT_12_Educ_Men,Age25_29, FALSE)),":")</f>
        <v>:</v>
      </c>
      <c r="N140" s="54" t="str">
        <f>IFERROR(HLOOKUP($B140,FUT_12_Educ_Women,Age25_29, FALSE)/(HLOOKUP("Total",FUT_12_Educ_Women,Age25_29, FALSE)-HLOOKUP("Not applicable",FUT_12_Educ_Women,Age25_29, FALSE)),":")</f>
        <v>:</v>
      </c>
    </row>
    <row r="141" spans="1:14" ht="15" thickBot="1" x14ac:dyDescent="0.4">
      <c r="A141" s="105" t="s">
        <v>21</v>
      </c>
      <c r="B141" s="106"/>
      <c r="C141" s="107" t="str">
        <f>IFERROR(HLOOKUP($A141,FUT_12_Educ_Tot,Age15_29, FALSE)/(HLOOKUP("Total",FUT_12_Educ_Tot,Age15_29, FALSE)-HLOOKUP("Not applicable",FUT_12_Educ_Tot,Age15_29, FALSE)),":")</f>
        <v>:</v>
      </c>
      <c r="D141" s="108" t="str">
        <f>IFERROR(HLOOKUP($A141,FUT_12_Educ_Men,Age15_29, FALSE)/(HLOOKUP("Total",FUT_12_Educ_Men,Age15_29, FALSE)-HLOOKUP("Not applicable",FUT_12_Educ_Men,Age15_29, FALSE)),":")</f>
        <v>:</v>
      </c>
      <c r="E141" s="109" t="str">
        <f>IFERROR(HLOOKUP($A141,FUT_12_Educ_Women,Age15_29, FALSE)/(HLOOKUP("Total",FUT_12_Educ_Women,Age15_29, FALSE)-HLOOKUP("Not applicable",FUT_12_Educ_Women,Age15_29, FALSE)),":")</f>
        <v>:</v>
      </c>
      <c r="F141" s="107" t="str">
        <f>IFERROR(HLOOKUP($A141,FUT_12_Educ_Tot,Age15_19, FALSE)/(HLOOKUP("Total",FUT_12_Educ_Tot,Age15_19, FALSE)-HLOOKUP("Not applicable",FUT_12_Educ_Tot,Age15_19, FALSE)),":")</f>
        <v>:</v>
      </c>
      <c r="G141" s="108" t="str">
        <f>IFERROR(HLOOKUP($A141,FUT_12_Educ_Men,Age15_19, FALSE)/(HLOOKUP("Total",FUT_12_Educ_Men,Age15_19, FALSE)-HLOOKUP("Not applicable",FUT_12_Educ_Men,Age15_19, FALSE)),":")</f>
        <v>:</v>
      </c>
      <c r="H141" s="109" t="str">
        <f>IFERROR(HLOOKUP($A141,FUT_12_Educ_Women,Age15_19, FALSE)/(HLOOKUP("Total",FUT_12_Educ_Women,Age15_19, FALSE)-HLOOKUP("Not applicable",FUT_12_Educ_Women,Age15_19, FALSE)),":")</f>
        <v>:</v>
      </c>
      <c r="I141" s="107" t="str">
        <f>IFERROR(HLOOKUP($A141,FUT_12_Educ_Tot,Age20_24, FALSE)/(HLOOKUP("Total",FUT_12_Educ_Tot,Age20_24, FALSE)-HLOOKUP("Not applicable",FUT_12_Educ_Tot,Age20_24, FALSE)),":")</f>
        <v>:</v>
      </c>
      <c r="J141" s="108" t="str">
        <f>IFERROR(HLOOKUP($A141,FUT_12_Educ_Men,Age20_24, FALSE)/(HLOOKUP("Total",FUT_12_Educ_Men,Age20_24, FALSE)-HLOOKUP("Not applicable",FUT_12_Educ_Men,Age20_24, FALSE)),":")</f>
        <v>:</v>
      </c>
      <c r="K141" s="109" t="str">
        <f>IFERROR(HLOOKUP($A141,FUT_12_Educ_Women,Age20_24, FALSE)/(HLOOKUP("Total",FUT_12_Educ_Women,Age20_24, FALSE)-HLOOKUP("Not applicable",FUT_12_Educ_Women,Age20_24, FALSE)),":")</f>
        <v>:</v>
      </c>
      <c r="L141" s="107" t="str">
        <f>IFERROR(HLOOKUP($A141,FUT_12_Educ_Tot,Age25_29, FALSE)/(HLOOKUP("Total",FUT_12_Educ_Tot,Age25_29, FALSE)-HLOOKUP("Not applicable",FUT_12_Educ_Tot,Age25_29, FALSE)),":")</f>
        <v>:</v>
      </c>
      <c r="M141" s="108" t="str">
        <f>IFERROR(HLOOKUP($A141,FUT_12_Educ_Men,Age25_29, FALSE)/(HLOOKUP("Total",FUT_12_Educ_Men,Age25_29, FALSE)-HLOOKUP("Not applicable",FUT_12_Educ_Men,Age25_29, FALSE)),":")</f>
        <v>:</v>
      </c>
      <c r="N141" s="109" t="str">
        <f>IFERROR(HLOOKUP($A141,FUT_12_Educ_Women,Age25_29, FALSE)/(HLOOKUP("Total",FUT_12_Educ_Women,Age25_29, FALSE)-HLOOKUP("Not applicable",FUT_12_Educ_Women,Age25_29, FALSE)),":")</f>
        <v>:</v>
      </c>
    </row>
    <row r="142" spans="1:14" ht="15.5" thickTop="1" thickBot="1" x14ac:dyDescent="0.4"/>
    <row r="143" spans="1:14" ht="15.75" customHeight="1" thickTop="1" x14ac:dyDescent="0.35">
      <c r="A143" s="361" t="s">
        <v>197</v>
      </c>
      <c r="B143" s="369"/>
      <c r="C143" s="365" t="s">
        <v>240</v>
      </c>
      <c r="D143" s="366"/>
      <c r="E143" s="367"/>
      <c r="F143" s="365" t="s">
        <v>11</v>
      </c>
      <c r="G143" s="366"/>
      <c r="H143" s="367"/>
      <c r="I143" s="368" t="s">
        <v>13</v>
      </c>
      <c r="J143" s="366"/>
      <c r="K143" s="367"/>
      <c r="L143" s="365" t="s">
        <v>239</v>
      </c>
      <c r="M143" s="366"/>
      <c r="N143" s="373"/>
    </row>
    <row r="144" spans="1:14" x14ac:dyDescent="0.35">
      <c r="A144" s="363"/>
      <c r="B144" s="370"/>
      <c r="C144" s="49" t="s">
        <v>3</v>
      </c>
      <c r="D144" s="47" t="s">
        <v>4</v>
      </c>
      <c r="E144" s="48" t="s">
        <v>5</v>
      </c>
      <c r="F144" s="49" t="s">
        <v>3</v>
      </c>
      <c r="G144" s="47" t="s">
        <v>4</v>
      </c>
      <c r="H144" s="48" t="s">
        <v>5</v>
      </c>
      <c r="I144" s="46" t="s">
        <v>3</v>
      </c>
      <c r="J144" s="47" t="s">
        <v>4</v>
      </c>
      <c r="K144" s="48" t="s">
        <v>5</v>
      </c>
      <c r="L144" s="49" t="s">
        <v>3</v>
      </c>
      <c r="M144" s="47" t="s">
        <v>4</v>
      </c>
      <c r="N144" s="204" t="s">
        <v>5</v>
      </c>
    </row>
    <row r="145" spans="1:14" x14ac:dyDescent="0.35">
      <c r="A145" s="99" t="s">
        <v>193</v>
      </c>
      <c r="B145" s="100"/>
      <c r="C145" s="101" t="str">
        <f t="shared" ref="C145:E145" si="54">IF(COUNT(C146:C149)&gt;0,SUM(C146:C149),":")</f>
        <v>:</v>
      </c>
      <c r="D145" s="102" t="str">
        <f t="shared" si="54"/>
        <v>:</v>
      </c>
      <c r="E145" s="103" t="str">
        <f t="shared" si="54"/>
        <v>:</v>
      </c>
      <c r="F145" s="101" t="str">
        <f t="shared" ref="F145:K145" si="55">IF(COUNT(F146:F149)&gt;0,SUM(F146:F149),":")</f>
        <v>:</v>
      </c>
      <c r="G145" s="102" t="str">
        <f t="shared" si="55"/>
        <v>:</v>
      </c>
      <c r="H145" s="103" t="str">
        <f t="shared" si="55"/>
        <v>:</v>
      </c>
      <c r="I145" s="101" t="str">
        <f t="shared" si="55"/>
        <v>:</v>
      </c>
      <c r="J145" s="102" t="str">
        <f t="shared" si="55"/>
        <v>:</v>
      </c>
      <c r="K145" s="103" t="str">
        <f t="shared" si="55"/>
        <v>:</v>
      </c>
      <c r="L145" s="101" t="str">
        <f t="shared" ref="L145:N145" si="56">IF(COUNT(L146:L149)&gt;0,SUM(L146:L149),":")</f>
        <v>:</v>
      </c>
      <c r="M145" s="102" t="str">
        <f t="shared" si="56"/>
        <v>:</v>
      </c>
      <c r="N145" s="103" t="str">
        <f t="shared" si="56"/>
        <v>:</v>
      </c>
    </row>
    <row r="146" spans="1:14" outlineLevel="1" x14ac:dyDescent="0.35">
      <c r="A146" s="50"/>
      <c r="B146" s="60" t="s">
        <v>15</v>
      </c>
      <c r="C146" s="52" t="str">
        <f>IFERROR(HLOOKUP($B146,FUT_18_Educ_Tot,Age15_29, FALSE)/(HLOOKUP("Total",FUT_18_Educ_Tot,Age15_29, FALSE)-HLOOKUP("Not applicable",FUT_18_Educ_Tot,Age15_29, FALSE)),":")</f>
        <v>:</v>
      </c>
      <c r="D146" s="53" t="str">
        <f>IFERROR(HLOOKUP($B146,FUT_18_Educ_Men,Age15_29, FALSE)/(HLOOKUP("Total",FUT_18_Educ_Men,Age15_29, FALSE)-HLOOKUP("Not applicable",FUT_18_Educ_Men,Age15_29, FALSE)),":")</f>
        <v>:</v>
      </c>
      <c r="E146" s="54" t="str">
        <f>IFERROR(HLOOKUP($B146,FUT_18_Educ_Women,Age15_29, FALSE)/(HLOOKUP("Total",FUT_18_Educ_Women,Age15_29, FALSE)-HLOOKUP("Not applicable",FUT_18_Educ_Women,Age15_29, FALSE)),":")</f>
        <v>:</v>
      </c>
      <c r="F146" s="52" t="str">
        <f>IFERROR(HLOOKUP($B146,FUT_18_Educ_Tot,Age15_19, FALSE)/(HLOOKUP("Total",FUT_18_Educ_Tot,Age15_19, FALSE)-HLOOKUP("Not applicable",FUT_18_Educ_Tot,Age15_19, FALSE)),":")</f>
        <v>:</v>
      </c>
      <c r="G146" s="53" t="str">
        <f>IFERROR(HLOOKUP($B146,FUT_18_Educ_Men,Age15_19, FALSE)/(HLOOKUP("Total",FUT_18_Educ_Men,Age15_19, FALSE)-HLOOKUP("Not applicable",FUT_18_Educ_Men,Age15_19, FALSE)),":")</f>
        <v>:</v>
      </c>
      <c r="H146" s="54" t="str">
        <f>IFERROR(HLOOKUP($B146,FUT_18_Educ_Women,Age15_19, FALSE)/(HLOOKUP("Total",FUT_18_Educ_Women,Age15_19, FALSE)-HLOOKUP("Not applicable",FUT_18_Educ_Women,Age15_19, FALSE)),":")</f>
        <v>:</v>
      </c>
      <c r="I146" s="52" t="str">
        <f>IFERROR(HLOOKUP($B146,FUT_18_Educ_Tot,Age20_24, FALSE)/(HLOOKUP("Total",FUT_18_Educ_Tot,Age20_24, FALSE)-HLOOKUP("Not applicable",FUT_18_Educ_Tot,Age20_24, FALSE)),":")</f>
        <v>:</v>
      </c>
      <c r="J146" s="53" t="str">
        <f>IFERROR(HLOOKUP($B146,FUT_18_Educ_Men,Age20_24, FALSE)/(HLOOKUP("Total",FUT_18_Educ_Men,Age20_24, FALSE)-HLOOKUP("Not applicable",FUT_18_Educ_Men,Age20_24, FALSE)),":")</f>
        <v>:</v>
      </c>
      <c r="K146" s="54" t="str">
        <f>IFERROR(HLOOKUP($B146,FUT_18_Educ_Women,Age20_24, FALSE)/(HLOOKUP("Total",FUT_18_Educ_Women,Age20_24, FALSE)-HLOOKUP("Not applicable",FUT_18_Educ_Women,Age20_24, FALSE)),":")</f>
        <v>:</v>
      </c>
      <c r="L146" s="52" t="str">
        <f>IFERROR(HLOOKUP($B146,FUT_18_Educ_Tot,Age25_29, FALSE)/(HLOOKUP("Total",FUT_18_Educ_Tot,Age25_29, FALSE)-HLOOKUP("Not applicable",FUT_18_Educ_Tot,Age25_29, FALSE)),":")</f>
        <v>:</v>
      </c>
      <c r="M146" s="53" t="str">
        <f>IFERROR(HLOOKUP($B146,FUT_18_Educ_Men,Age25_29, FALSE)/(HLOOKUP("Total",FUT_18_Educ_Men,Age25_29, FALSE)-HLOOKUP("Not applicable",FUT_18_Educ_Men,Age25_29, FALSE)),":")</f>
        <v>:</v>
      </c>
      <c r="N146" s="54" t="str">
        <f>IFERROR(HLOOKUP($B146,FUT_18_Educ_Women,Age25_29, FALSE)/(HLOOKUP("Total",FUT_18_Educ_Women,Age25_29, FALSE)-HLOOKUP("Not applicable",FUT_18_Educ_Women,Age25_29, FALSE)),":")</f>
        <v>:</v>
      </c>
    </row>
    <row r="147" spans="1:14" outlineLevel="1" x14ac:dyDescent="0.35">
      <c r="A147" s="50"/>
      <c r="B147" s="60" t="s">
        <v>16</v>
      </c>
      <c r="C147" s="52" t="str">
        <f>IFERROR(HLOOKUP($B147,FUT_18_Educ_Tot,Age15_29, FALSE)/(HLOOKUP("Total",FUT_18_Educ_Tot,Age15_29, FALSE)-HLOOKUP("Not applicable",FUT_18_Educ_Tot,Age15_29, FALSE)),":")</f>
        <v>:</v>
      </c>
      <c r="D147" s="53" t="str">
        <f>IFERROR(HLOOKUP($B147,FUT_18_Educ_Men,Age15_29, FALSE)/(HLOOKUP("Total",FUT_18_Educ_Men,Age15_29, FALSE)-HLOOKUP("Not applicable",FUT_18_Educ_Men,Age15_29, FALSE)),":")</f>
        <v>:</v>
      </c>
      <c r="E147" s="54" t="str">
        <f>IFERROR(HLOOKUP($B147,FUT_18_Educ_Women,Age15_29, FALSE)/(HLOOKUP("Total",FUT_18_Educ_Women,Age15_29, FALSE)-HLOOKUP("Not applicable",FUT_18_Educ_Women,Age15_29, FALSE)),":")</f>
        <v>:</v>
      </c>
      <c r="F147" s="52" t="str">
        <f>IFERROR(HLOOKUP($B147,FUT_18_Educ_Tot,Age15_19, FALSE)/(HLOOKUP("Total",FUT_18_Educ_Tot,Age15_19, FALSE)-HLOOKUP("Not applicable",FUT_18_Educ_Tot,Age15_19, FALSE)),":")</f>
        <v>:</v>
      </c>
      <c r="G147" s="53" t="str">
        <f>IFERROR(HLOOKUP($B147,FUT_18_Educ_Men,Age15_19, FALSE)/(HLOOKUP("Total",FUT_18_Educ_Men,Age15_19, FALSE)-HLOOKUP("Not applicable",FUT_18_Educ_Men,Age15_19, FALSE)),":")</f>
        <v>:</v>
      </c>
      <c r="H147" s="54" t="str">
        <f>IFERROR(HLOOKUP($B147,FUT_18_Educ_Women,Age15_19, FALSE)/(HLOOKUP("Total",FUT_18_Educ_Women,Age15_19, FALSE)-HLOOKUP("Not applicable",FUT_18_Educ_Women,Age15_19, FALSE)),":")</f>
        <v>:</v>
      </c>
      <c r="I147" s="52" t="str">
        <f>IFERROR(HLOOKUP($B147,FUT_18_Educ_Tot,Age20_24, FALSE)/(HLOOKUP("Total",FUT_18_Educ_Tot,Age20_24, FALSE)-HLOOKUP("Not applicable",FUT_18_Educ_Tot,Age20_24, FALSE)),":")</f>
        <v>:</v>
      </c>
      <c r="J147" s="53" t="str">
        <f>IFERROR(HLOOKUP($B147,FUT_18_Educ_Men,Age20_24, FALSE)/(HLOOKUP("Total",FUT_18_Educ_Men,Age20_24, FALSE)-HLOOKUP("Not applicable",FUT_18_Educ_Men,Age20_24, FALSE)),":")</f>
        <v>:</v>
      </c>
      <c r="K147" s="54" t="str">
        <f>IFERROR(HLOOKUP($B147,FUT_18_Educ_Women,Age20_24, FALSE)/(HLOOKUP("Total",FUT_18_Educ_Women,Age20_24, FALSE)-HLOOKUP("Not applicable",FUT_18_Educ_Women,Age20_24, FALSE)),":")</f>
        <v>:</v>
      </c>
      <c r="L147" s="52" t="str">
        <f>IFERROR(HLOOKUP($B147,FUT_18_Educ_Tot,Age25_29, FALSE)/(HLOOKUP("Total",FUT_18_Educ_Tot,Age25_29, FALSE)-HLOOKUP("Not applicable",FUT_18_Educ_Tot,Age25_29, FALSE)),":")</f>
        <v>:</v>
      </c>
      <c r="M147" s="53" t="str">
        <f>IFERROR(HLOOKUP($B147,FUT_18_Educ_Men,Age25_29, FALSE)/(HLOOKUP("Total",FUT_18_Educ_Men,Age25_29, FALSE)-HLOOKUP("Not applicable",FUT_18_Educ_Men,Age25_29, FALSE)),":")</f>
        <v>:</v>
      </c>
      <c r="N147" s="54" t="str">
        <f>IFERROR(HLOOKUP($B147,FUT_18_Educ_Women,Age25_29, FALSE)/(HLOOKUP("Total",FUT_18_Educ_Women,Age25_29, FALSE)-HLOOKUP("Not applicable",FUT_18_Educ_Women,Age25_29, FALSE)),":")</f>
        <v>:</v>
      </c>
    </row>
    <row r="148" spans="1:14" outlineLevel="1" x14ac:dyDescent="0.35">
      <c r="A148" s="50"/>
      <c r="B148" s="60" t="s">
        <v>17</v>
      </c>
      <c r="C148" s="52" t="str">
        <f>IFERROR(HLOOKUP($B148,FUT_18_Educ_Tot,Age15_29, FALSE)/(HLOOKUP("Total",FUT_18_Educ_Tot,Age15_29, FALSE)-HLOOKUP("Not applicable",FUT_18_Educ_Tot,Age15_29, FALSE)),":")</f>
        <v>:</v>
      </c>
      <c r="D148" s="53" t="str">
        <f>IFERROR(HLOOKUP($B148,FUT_18_Educ_Men,Age15_29, FALSE)/(HLOOKUP("Total",FUT_18_Educ_Men,Age15_29, FALSE)-HLOOKUP("Not applicable",FUT_18_Educ_Men,Age15_29, FALSE)),":")</f>
        <v>:</v>
      </c>
      <c r="E148" s="54" t="str">
        <f>IFERROR(HLOOKUP($B148,FUT_18_Educ_Women,Age15_29, FALSE)/(HLOOKUP("Total",FUT_18_Educ_Women,Age15_29, FALSE)-HLOOKUP("Not applicable",FUT_18_Educ_Women,Age15_29, FALSE)),":")</f>
        <v>:</v>
      </c>
      <c r="F148" s="52" t="str">
        <f>IFERROR(HLOOKUP($B148,FUT_18_Educ_Tot,Age15_19, FALSE)/(HLOOKUP("Total",FUT_18_Educ_Tot,Age15_19, FALSE)-HLOOKUP("Not applicable",FUT_18_Educ_Tot,Age15_19, FALSE)),":")</f>
        <v>:</v>
      </c>
      <c r="G148" s="53" t="str">
        <f>IFERROR(HLOOKUP($B148,FUT_18_Educ_Men,Age15_19, FALSE)/(HLOOKUP("Total",FUT_18_Educ_Men,Age15_19, FALSE)-HLOOKUP("Not applicable",FUT_18_Educ_Men,Age15_19, FALSE)),":")</f>
        <v>:</v>
      </c>
      <c r="H148" s="54" t="str">
        <f>IFERROR(HLOOKUP($B148,FUT_18_Educ_Women,Age15_19, FALSE)/(HLOOKUP("Total",FUT_18_Educ_Women,Age15_19, FALSE)-HLOOKUP("Not applicable",FUT_18_Educ_Women,Age15_19, FALSE)),":")</f>
        <v>:</v>
      </c>
      <c r="I148" s="52" t="str">
        <f>IFERROR(HLOOKUP($B148,FUT_18_Educ_Tot,Age20_24, FALSE)/(HLOOKUP("Total",FUT_18_Educ_Tot,Age20_24, FALSE)-HLOOKUP("Not applicable",FUT_18_Educ_Tot,Age20_24, FALSE)),":")</f>
        <v>:</v>
      </c>
      <c r="J148" s="53" t="str">
        <f>IFERROR(HLOOKUP($B148,FUT_18_Educ_Men,Age20_24, FALSE)/(HLOOKUP("Total",FUT_18_Educ_Men,Age20_24, FALSE)-HLOOKUP("Not applicable",FUT_18_Educ_Men,Age20_24, FALSE)),":")</f>
        <v>:</v>
      </c>
      <c r="K148" s="54" t="str">
        <f>IFERROR(HLOOKUP($B148,FUT_18_Educ_Women,Age20_24, FALSE)/(HLOOKUP("Total",FUT_18_Educ_Women,Age20_24, FALSE)-HLOOKUP("Not applicable",FUT_18_Educ_Women,Age20_24, FALSE)),":")</f>
        <v>:</v>
      </c>
      <c r="L148" s="52" t="str">
        <f>IFERROR(HLOOKUP($B148,FUT_18_Educ_Tot,Age25_29, FALSE)/(HLOOKUP("Total",FUT_18_Educ_Tot,Age25_29, FALSE)-HLOOKUP("Not applicable",FUT_18_Educ_Tot,Age25_29, FALSE)),":")</f>
        <v>:</v>
      </c>
      <c r="M148" s="53" t="str">
        <f>IFERROR(HLOOKUP($B148,FUT_18_Educ_Men,Age25_29, FALSE)/(HLOOKUP("Total",FUT_18_Educ_Men,Age25_29, FALSE)-HLOOKUP("Not applicable",FUT_18_Educ_Men,Age25_29, FALSE)),":")</f>
        <v>:</v>
      </c>
      <c r="N148" s="54" t="str">
        <f>IFERROR(HLOOKUP($B148,FUT_18_Educ_Women,Age25_29, FALSE)/(HLOOKUP("Total",FUT_18_Educ_Women,Age25_29, FALSE)-HLOOKUP("Not applicable",FUT_18_Educ_Women,Age25_29, FALSE)),":")</f>
        <v>:</v>
      </c>
    </row>
    <row r="149" spans="1:14" outlineLevel="1" x14ac:dyDescent="0.35">
      <c r="A149" s="50"/>
      <c r="B149" s="60" t="s">
        <v>18</v>
      </c>
      <c r="C149" s="52" t="str">
        <f>IFERROR(HLOOKUP($B149,FUT_18_Educ_Tot,Age15_29, FALSE)/(HLOOKUP("Total",FUT_18_Educ_Tot,Age15_29, FALSE)-HLOOKUP("Not applicable",FUT_18_Educ_Tot,Age15_29, FALSE)),":")</f>
        <v>:</v>
      </c>
      <c r="D149" s="53" t="str">
        <f>IFERROR(HLOOKUP($B149,FUT_18_Educ_Men,Age15_29, FALSE)/(HLOOKUP("Total",FUT_18_Educ_Men,Age15_29, FALSE)-HLOOKUP("Not applicable",FUT_18_Educ_Men,Age15_29, FALSE)),":")</f>
        <v>:</v>
      </c>
      <c r="E149" s="54" t="str">
        <f>IFERROR(HLOOKUP($B149,FUT_18_Educ_Women,Age15_29, FALSE)/(HLOOKUP("Total",FUT_18_Educ_Women,Age15_29, FALSE)-HLOOKUP("Not applicable",FUT_18_Educ_Women,Age15_29, FALSE)),":")</f>
        <v>:</v>
      </c>
      <c r="F149" s="52" t="str">
        <f>IFERROR(HLOOKUP($B149,FUT_18_Educ_Tot,Age15_19, FALSE)/(HLOOKUP("Total",FUT_18_Educ_Tot,Age15_19, FALSE)-HLOOKUP("Not applicable",FUT_18_Educ_Tot,Age15_19, FALSE)),":")</f>
        <v>:</v>
      </c>
      <c r="G149" s="53" t="str">
        <f>IFERROR(HLOOKUP($B149,FUT_18_Educ_Men,Age15_19, FALSE)/(HLOOKUP("Total",FUT_18_Educ_Men,Age15_19, FALSE)-HLOOKUP("Not applicable",FUT_18_Educ_Men,Age15_19, FALSE)),":")</f>
        <v>:</v>
      </c>
      <c r="H149" s="54" t="str">
        <f>IFERROR(HLOOKUP($B149,FUT_18_Educ_Women,Age15_19, FALSE)/(HLOOKUP("Total",FUT_18_Educ_Women,Age15_19, FALSE)-HLOOKUP("Not applicable",FUT_18_Educ_Women,Age15_19, FALSE)),":")</f>
        <v>:</v>
      </c>
      <c r="I149" s="52" t="str">
        <f>IFERROR(HLOOKUP($B149,FUT_18_Educ_Tot,Age20_24, FALSE)/(HLOOKUP("Total",FUT_18_Educ_Tot,Age20_24, FALSE)-HLOOKUP("Not applicable",FUT_18_Educ_Tot,Age20_24, FALSE)),":")</f>
        <v>:</v>
      </c>
      <c r="J149" s="53" t="str">
        <f>IFERROR(HLOOKUP($B149,FUT_18_Educ_Men,Age20_24, FALSE)/(HLOOKUP("Total",FUT_18_Educ_Men,Age20_24, FALSE)-HLOOKUP("Not applicable",FUT_18_Educ_Men,Age20_24, FALSE)),":")</f>
        <v>:</v>
      </c>
      <c r="K149" s="54" t="str">
        <f>IFERROR(HLOOKUP($B149,FUT_18_Educ_Women,Age20_24, FALSE)/(HLOOKUP("Total",FUT_18_Educ_Women,Age20_24, FALSE)-HLOOKUP("Not applicable",FUT_18_Educ_Women,Age20_24, FALSE)),":")</f>
        <v>:</v>
      </c>
      <c r="L149" s="52" t="str">
        <f>IFERROR(HLOOKUP($B149,FUT_18_Educ_Tot,Age25_29, FALSE)/(HLOOKUP("Total",FUT_18_Educ_Tot,Age25_29, FALSE)-HLOOKUP("Not applicable",FUT_18_Educ_Tot,Age25_29, FALSE)),":")</f>
        <v>:</v>
      </c>
      <c r="M149" s="53" t="str">
        <f>IFERROR(HLOOKUP($B149,FUT_18_Educ_Men,Age25_29, FALSE)/(HLOOKUP("Total",FUT_18_Educ_Men,Age25_29, FALSE)-HLOOKUP("Not applicable",FUT_18_Educ_Men,Age25_29, FALSE)),":")</f>
        <v>:</v>
      </c>
      <c r="N149" s="54" t="str">
        <f>IFERROR(HLOOKUP($B149,FUT_18_Educ_Women,Age25_29, FALSE)/(HLOOKUP("Total",FUT_18_Educ_Women,Age25_29, FALSE)-HLOOKUP("Not applicable",FUT_18_Educ_Women,Age25_29, FALSE)),":")</f>
        <v>:</v>
      </c>
    </row>
    <row r="150" spans="1:14" x14ac:dyDescent="0.35">
      <c r="A150" s="99" t="s">
        <v>194</v>
      </c>
      <c r="B150" s="104"/>
      <c r="C150" s="101" t="str">
        <f t="shared" ref="C150:E150" si="57">IF(COUNT(C151:C152)&gt;0,SUM(C151:C152),":")</f>
        <v>:</v>
      </c>
      <c r="D150" s="102" t="str">
        <f t="shared" si="57"/>
        <v>:</v>
      </c>
      <c r="E150" s="103" t="str">
        <f t="shared" si="57"/>
        <v>:</v>
      </c>
      <c r="F150" s="101" t="str">
        <f t="shared" ref="F150:K150" si="58">IF(COUNT(F151:F152)&gt;0,SUM(F151:F152),":")</f>
        <v>:</v>
      </c>
      <c r="G150" s="102" t="str">
        <f t="shared" si="58"/>
        <v>:</v>
      </c>
      <c r="H150" s="103" t="str">
        <f t="shared" si="58"/>
        <v>:</v>
      </c>
      <c r="I150" s="101" t="str">
        <f t="shared" si="58"/>
        <v>:</v>
      </c>
      <c r="J150" s="102" t="str">
        <f t="shared" si="58"/>
        <v>:</v>
      </c>
      <c r="K150" s="103" t="str">
        <f t="shared" si="58"/>
        <v>:</v>
      </c>
      <c r="L150" s="101" t="str">
        <f t="shared" ref="L150:N150" si="59">IF(COUNT(L151:L152)&gt;0,SUM(L151:L152),":")</f>
        <v>:</v>
      </c>
      <c r="M150" s="102" t="str">
        <f t="shared" si="59"/>
        <v>:</v>
      </c>
      <c r="N150" s="103" t="str">
        <f t="shared" si="59"/>
        <v>:</v>
      </c>
    </row>
    <row r="151" spans="1:14" outlineLevel="1" x14ac:dyDescent="0.35">
      <c r="A151" s="50"/>
      <c r="B151" s="60" t="s">
        <v>20</v>
      </c>
      <c r="C151" s="52" t="str">
        <f>IFERROR(HLOOKUP($B151,FUT_18_Educ_Tot,Age15_29, FALSE)/(HLOOKUP("Total",FUT_18_Educ_Tot,Age15_29, FALSE)-HLOOKUP("Not applicable",FUT_18_Educ_Tot,Age15_29, FALSE)),":")</f>
        <v>:</v>
      </c>
      <c r="D151" s="53" t="str">
        <f>IFERROR(HLOOKUP($B151,FUT_18_Educ_Men,Age15_29, FALSE)/(HLOOKUP("Total",FUT_18_Educ_Men,Age15_29, FALSE)-HLOOKUP("Not applicable",FUT_18_Educ_Men,Age15_29, FALSE)),":")</f>
        <v>:</v>
      </c>
      <c r="E151" s="54" t="str">
        <f>IFERROR(HLOOKUP($B151,FUT_18_Educ_Women,Age15_29, FALSE)/(HLOOKUP("Total",FUT_18_Educ_Women,Age15_29, FALSE)-HLOOKUP("Not applicable",FUT_18_Educ_Women,Age15_29, FALSE)),":")</f>
        <v>:</v>
      </c>
      <c r="F151" s="52" t="str">
        <f>IFERROR(HLOOKUP($B151,FUT_18_Educ_Tot,Age15_19, FALSE)/(HLOOKUP("Total",FUT_18_Educ_Tot,Age15_19, FALSE)-HLOOKUP("Not applicable",FUT_18_Educ_Tot,Age15_19, FALSE)),":")</f>
        <v>:</v>
      </c>
      <c r="G151" s="53" t="str">
        <f>IFERROR(HLOOKUP($B151,FUT_18_Educ_Men,Age15_19, FALSE)/(HLOOKUP("Total",FUT_18_Educ_Men,Age15_19, FALSE)-HLOOKUP("Not applicable",FUT_18_Educ_Men,Age15_19, FALSE)),":")</f>
        <v>:</v>
      </c>
      <c r="H151" s="54" t="str">
        <f>IFERROR(HLOOKUP($B151,FUT_18_Educ_Women,Age15_19, FALSE)/(HLOOKUP("Total",FUT_18_Educ_Women,Age15_19, FALSE)-HLOOKUP("Not applicable",FUT_18_Educ_Women,Age15_19, FALSE)),":")</f>
        <v>:</v>
      </c>
      <c r="I151" s="52" t="str">
        <f>IFERROR(HLOOKUP($B151,FUT_18_Educ_Tot,Age20_24, FALSE)/(HLOOKUP("Total",FUT_18_Educ_Tot,Age20_24, FALSE)-HLOOKUP("Not applicable",FUT_18_Educ_Tot,Age20_24, FALSE)),":")</f>
        <v>:</v>
      </c>
      <c r="J151" s="53" t="str">
        <f>IFERROR(HLOOKUP($B151,FUT_18_Educ_Men,Age20_24, FALSE)/(HLOOKUP("Total",FUT_18_Educ_Men,Age20_24, FALSE)-HLOOKUP("Not applicable",FUT_18_Educ_Men,Age20_24, FALSE)),":")</f>
        <v>:</v>
      </c>
      <c r="K151" s="54" t="str">
        <f>IFERROR(HLOOKUP($B151,FUT_18_Educ_Women,Age20_24, FALSE)/(HLOOKUP("Total",FUT_18_Educ_Women,Age20_24, FALSE)-HLOOKUP("Not applicable",FUT_18_Educ_Women,Age20_24, FALSE)),":")</f>
        <v>:</v>
      </c>
      <c r="L151" s="52" t="str">
        <f>IFERROR(HLOOKUP($B151,FUT_18_Educ_Tot,Age25_29, FALSE)/(HLOOKUP("Total",FUT_18_Educ_Tot,Age25_29, FALSE)-HLOOKUP("Not applicable",FUT_18_Educ_Tot,Age25_29, FALSE)),":")</f>
        <v>:</v>
      </c>
      <c r="M151" s="53" t="str">
        <f>IFERROR(HLOOKUP($B151,FUT_18_Educ_Men,Age25_29, FALSE)/(HLOOKUP("Total",FUT_18_Educ_Men,Age25_29, FALSE)-HLOOKUP("Not applicable",FUT_18_Educ_Men,Age25_29, FALSE)),":")</f>
        <v>:</v>
      </c>
      <c r="N151" s="54" t="str">
        <f>IFERROR(HLOOKUP($B151,FUT_18_Educ_Women,Age25_29, FALSE)/(HLOOKUP("Total",FUT_18_Educ_Women,Age25_29, FALSE)-HLOOKUP("Not applicable",FUT_18_Educ_Women,Age25_29, FALSE)),":")</f>
        <v>:</v>
      </c>
    </row>
    <row r="152" spans="1:14" outlineLevel="1" x14ac:dyDescent="0.35">
      <c r="A152" s="50"/>
      <c r="B152" s="60" t="s">
        <v>100</v>
      </c>
      <c r="C152" s="52" t="str">
        <f>IFERROR(HLOOKUP($B152,FUT_18_Educ_Tot,Age15_29, FALSE)/(HLOOKUP("Total",FUT_18_Educ_Tot,Age15_29, FALSE)-HLOOKUP("Not applicable",FUT_18_Educ_Tot,Age15_29, FALSE)),":")</f>
        <v>:</v>
      </c>
      <c r="D152" s="53" t="str">
        <f>IFERROR(HLOOKUP($B152,FUT_18_Educ_Men,Age15_29, FALSE)/(HLOOKUP("Total",FUT_18_Educ_Men,Age15_29, FALSE)-HLOOKUP("Not applicable",FUT_18_Educ_Men,Age15_29, FALSE)),":")</f>
        <v>:</v>
      </c>
      <c r="E152" s="54" t="str">
        <f>IFERROR(HLOOKUP($B152,FUT_18_Educ_Women,Age15_29, FALSE)/(HLOOKUP("Total",FUT_18_Educ_Women,Age15_29, FALSE)-HLOOKUP("Not applicable",FUT_18_Educ_Women,Age15_29, FALSE)),":")</f>
        <v>:</v>
      </c>
      <c r="F152" s="52" t="str">
        <f>IFERROR(HLOOKUP($B152,FUT_18_Educ_Tot,Age15_19, FALSE)/(HLOOKUP("Total",FUT_18_Educ_Tot,Age15_19, FALSE)-HLOOKUP("Not applicable",FUT_18_Educ_Tot,Age15_19, FALSE)),":")</f>
        <v>:</v>
      </c>
      <c r="G152" s="53" t="str">
        <f>IFERROR(HLOOKUP($B152,FUT_18_Educ_Men,Age15_19, FALSE)/(HLOOKUP("Total",FUT_18_Educ_Men,Age15_19, FALSE)-HLOOKUP("Not applicable",FUT_18_Educ_Men,Age15_19, FALSE)),":")</f>
        <v>:</v>
      </c>
      <c r="H152" s="54" t="str">
        <f>IFERROR(HLOOKUP($B152,FUT_18_Educ_Women,Age15_19, FALSE)/(HLOOKUP("Total",FUT_18_Educ_Women,Age15_19, FALSE)-HLOOKUP("Not applicable",FUT_18_Educ_Women,Age15_19, FALSE)),":")</f>
        <v>:</v>
      </c>
      <c r="I152" s="52" t="str">
        <f>IFERROR(HLOOKUP($B152,FUT_18_Educ_Tot,Age20_24, FALSE)/(HLOOKUP("Total",FUT_18_Educ_Tot,Age20_24, FALSE)-HLOOKUP("Not applicable",FUT_18_Educ_Tot,Age20_24, FALSE)),":")</f>
        <v>:</v>
      </c>
      <c r="J152" s="53" t="str">
        <f>IFERROR(HLOOKUP($B152,FUT_18_Educ_Men,Age20_24, FALSE)/(HLOOKUP("Total",FUT_18_Educ_Men,Age20_24, FALSE)-HLOOKUP("Not applicable",FUT_18_Educ_Men,Age20_24, FALSE)),":")</f>
        <v>:</v>
      </c>
      <c r="K152" s="54" t="str">
        <f>IFERROR(HLOOKUP($B152,FUT_18_Educ_Women,Age20_24, FALSE)/(HLOOKUP("Total",FUT_18_Educ_Women,Age20_24, FALSE)-HLOOKUP("Not applicable",FUT_18_Educ_Women,Age20_24, FALSE)),":")</f>
        <v>:</v>
      </c>
      <c r="L152" s="52" t="str">
        <f>IFERROR(HLOOKUP($B152,FUT_18_Educ_Tot,Age25_29, FALSE)/(HLOOKUP("Total",FUT_18_Educ_Tot,Age25_29, FALSE)-HLOOKUP("Not applicable",FUT_18_Educ_Tot,Age25_29, FALSE)),":")</f>
        <v>:</v>
      </c>
      <c r="M152" s="53" t="str">
        <f>IFERROR(HLOOKUP($B152,FUT_18_Educ_Men,Age25_29, FALSE)/(HLOOKUP("Total",FUT_18_Educ_Men,Age25_29, FALSE)-HLOOKUP("Not applicable",FUT_18_Educ_Men,Age25_29, FALSE)),":")</f>
        <v>:</v>
      </c>
      <c r="N152" s="54" t="str">
        <f>IFERROR(HLOOKUP($B152,FUT_18_Educ_Women,Age25_29, FALSE)/(HLOOKUP("Total",FUT_18_Educ_Women,Age25_29, FALSE)-HLOOKUP("Not applicable",FUT_18_Educ_Women,Age25_29, FALSE)),":")</f>
        <v>:</v>
      </c>
    </row>
    <row r="153" spans="1:14" ht="15" thickBot="1" x14ac:dyDescent="0.4">
      <c r="A153" s="105" t="s">
        <v>21</v>
      </c>
      <c r="B153" s="106"/>
      <c r="C153" s="107" t="str">
        <f>IFERROR(HLOOKUP($A153,FUT_18_Educ_Tot,Age15_29, FALSE)/(HLOOKUP("Total",FUT_18_Educ_Tot,Age15_29, FALSE)-HLOOKUP("Not applicable",FUT_18_Educ_Tot,Age15_29, FALSE)),":")</f>
        <v>:</v>
      </c>
      <c r="D153" s="108" t="str">
        <f>IFERROR(HLOOKUP($A153,FUT_18_Educ_Men,Age15_29, FALSE)/(HLOOKUP("Total",FUT_18_Educ_Men,Age15_29, FALSE)-HLOOKUP("Not applicable",FUT_18_Educ_Men,Age15_29, FALSE)),":")</f>
        <v>:</v>
      </c>
      <c r="E153" s="109" t="str">
        <f>IFERROR(HLOOKUP($A153,FUT_18_Educ_Women,Age15_29, FALSE)/(HLOOKUP("Total",FUT_18_Educ_Women,Age15_29, FALSE)-HLOOKUP("Not applicable",FUT_18_Educ_Women,Age15_29, FALSE)),":")</f>
        <v>:</v>
      </c>
      <c r="F153" s="107" t="str">
        <f>IFERROR(HLOOKUP($A153,FUT_18_Educ_Tot,Age15_19, FALSE)/(HLOOKUP("Total",FUT_18_Educ_Tot,Age15_19, FALSE)-HLOOKUP("Not applicable",FUT_18_Educ_Tot,Age15_19, FALSE)),":")</f>
        <v>:</v>
      </c>
      <c r="G153" s="108" t="str">
        <f>IFERROR(HLOOKUP($A153,FUT_18_Educ_Men,Age15_19, FALSE)/(HLOOKUP("Total",FUT_18_Educ_Men,Age15_19, FALSE)-HLOOKUP("Not applicable",FUT_18_Educ_Men,Age15_19, FALSE)),":")</f>
        <v>:</v>
      </c>
      <c r="H153" s="109" t="str">
        <f>IFERROR(HLOOKUP($A153,FUT_18_Educ_Women,Age15_19, FALSE)/(HLOOKUP("Total",FUT_18_Educ_Women,Age15_19, FALSE)-HLOOKUP("Not applicable",FUT_18_Educ_Women,Age15_19, FALSE)),":")</f>
        <v>:</v>
      </c>
      <c r="I153" s="107" t="str">
        <f>IFERROR(HLOOKUP($A153,FUT_18_Educ_Tot,Age20_24, FALSE)/(HLOOKUP("Total",FUT_18_Educ_Tot,Age20_24, FALSE)-HLOOKUP("Not applicable",FUT_18_Educ_Tot,Age20_24, FALSE)),":")</f>
        <v>:</v>
      </c>
      <c r="J153" s="108" t="str">
        <f>IFERROR(HLOOKUP($A153,FUT_18_Educ_Men,Age20_24, FALSE)/(HLOOKUP("Total",FUT_18_Educ_Men,Age20_24, FALSE)-HLOOKUP("Not applicable",FUT_18_Educ_Men,Age20_24, FALSE)),":")</f>
        <v>:</v>
      </c>
      <c r="K153" s="109" t="str">
        <f>IFERROR(HLOOKUP($A153,FUT_18_Educ_Women,Age20_24, FALSE)/(HLOOKUP("Total",FUT_18_Educ_Women,Age20_24, FALSE)-HLOOKUP("Not applicable",FUT_18_Educ_Women,Age20_24, FALSE)),":")</f>
        <v>:</v>
      </c>
      <c r="L153" s="107" t="str">
        <f>IFERROR(HLOOKUP($A153,FUT_18_Educ_Tot,Age25_29, FALSE)/(HLOOKUP("Total",FUT_18_Educ_Tot,Age25_29, FALSE)-HLOOKUP("Not applicable",FUT_18_Educ_Tot,Age25_29, FALSE)),":")</f>
        <v>:</v>
      </c>
      <c r="M153" s="108" t="str">
        <f>IFERROR(HLOOKUP($A153,FUT_18_Educ_Men,Age25_29, FALSE)/(HLOOKUP("Total",FUT_18_Educ_Men,Age25_29, FALSE)-HLOOKUP("Not applicable",FUT_18_Educ_Men,Age25_29, FALSE)),":")</f>
        <v>:</v>
      </c>
      <c r="N153" s="109" t="str">
        <f>IFERROR(HLOOKUP($A153,FUT_18_Educ_Women,Age25_29, FALSE)/(HLOOKUP("Total",FUT_18_Educ_Women,Age25_29, FALSE)-HLOOKUP("Not applicable",FUT_18_Educ_Women,Age25_29, FALSE)),":")</f>
        <v>:</v>
      </c>
    </row>
    <row r="154" spans="1:14" ht="15" thickTop="1" x14ac:dyDescent="0.35"/>
    <row r="155" spans="1:14" s="45" customFormat="1" x14ac:dyDescent="0.35">
      <c r="A155" s="45" t="s">
        <v>211</v>
      </c>
      <c r="C155" s="45" t="s">
        <v>200</v>
      </c>
    </row>
    <row r="156" spans="1:14" s="45" customFormat="1" ht="58.5" customHeight="1" x14ac:dyDescent="0.35">
      <c r="A156" s="45" t="s">
        <v>215</v>
      </c>
      <c r="C156" s="372" t="s">
        <v>447</v>
      </c>
      <c r="D156" s="372"/>
      <c r="E156" s="372"/>
      <c r="F156" s="372"/>
      <c r="G156" s="372"/>
      <c r="H156" s="372"/>
      <c r="I156" s="372"/>
      <c r="J156" s="372"/>
    </row>
    <row r="157" spans="1:14" ht="15" thickBot="1" x14ac:dyDescent="0.4"/>
    <row r="158" spans="1:14" ht="15.75" customHeight="1" thickTop="1" x14ac:dyDescent="0.35">
      <c r="A158" s="361" t="s">
        <v>192</v>
      </c>
      <c r="B158" s="369"/>
      <c r="C158" s="365" t="s">
        <v>240</v>
      </c>
      <c r="D158" s="366"/>
      <c r="E158" s="367"/>
      <c r="F158" s="365" t="s">
        <v>11</v>
      </c>
      <c r="G158" s="366"/>
      <c r="H158" s="367"/>
      <c r="I158" s="368" t="s">
        <v>13</v>
      </c>
      <c r="J158" s="366"/>
      <c r="K158" s="367"/>
      <c r="L158" s="365" t="s">
        <v>239</v>
      </c>
      <c r="M158" s="366"/>
      <c r="N158" s="373"/>
    </row>
    <row r="159" spans="1:14" x14ac:dyDescent="0.35">
      <c r="A159" s="363"/>
      <c r="B159" s="370"/>
      <c r="C159" s="49" t="s">
        <v>3</v>
      </c>
      <c r="D159" s="47" t="s">
        <v>4</v>
      </c>
      <c r="E159" s="48" t="s">
        <v>5</v>
      </c>
      <c r="F159" s="49" t="s">
        <v>3</v>
      </c>
      <c r="G159" s="47" t="s">
        <v>4</v>
      </c>
      <c r="H159" s="48" t="s">
        <v>5</v>
      </c>
      <c r="I159" s="46" t="s">
        <v>3</v>
      </c>
      <c r="J159" s="47" t="s">
        <v>4</v>
      </c>
      <c r="K159" s="48" t="s">
        <v>5</v>
      </c>
      <c r="L159" s="49" t="s">
        <v>3</v>
      </c>
      <c r="M159" s="47" t="s">
        <v>4</v>
      </c>
      <c r="N159" s="204" t="s">
        <v>5</v>
      </c>
    </row>
    <row r="160" spans="1:14" x14ac:dyDescent="0.35">
      <c r="A160" s="99" t="s">
        <v>193</v>
      </c>
      <c r="B160" s="100"/>
      <c r="C160" s="101" t="str">
        <f t="shared" ref="C160:E160" si="60">IF(COUNT(C161:C164)&gt;0,SUM(C161:C164),":")</f>
        <v>:</v>
      </c>
      <c r="D160" s="102" t="str">
        <f t="shared" si="60"/>
        <v>:</v>
      </c>
      <c r="E160" s="103" t="str">
        <f t="shared" si="60"/>
        <v>:</v>
      </c>
      <c r="F160" s="101" t="str">
        <f t="shared" ref="F160:K160" si="61">IF(COUNT(F161:F164)&gt;0,SUM(F161:F164),":")</f>
        <v>:</v>
      </c>
      <c r="G160" s="102" t="str">
        <f t="shared" si="61"/>
        <v>:</v>
      </c>
      <c r="H160" s="103" t="str">
        <f t="shared" si="61"/>
        <v>:</v>
      </c>
      <c r="I160" s="101" t="str">
        <f t="shared" si="61"/>
        <v>:</v>
      </c>
      <c r="J160" s="102" t="str">
        <f t="shared" si="61"/>
        <v>:</v>
      </c>
      <c r="K160" s="103" t="str">
        <f t="shared" si="61"/>
        <v>:</v>
      </c>
      <c r="L160" s="101" t="str">
        <f t="shared" ref="L160:N160" si="62">IF(COUNT(L161:L164)&gt;0,SUM(L161:L164),":")</f>
        <v>:</v>
      </c>
      <c r="M160" s="102" t="str">
        <f t="shared" si="62"/>
        <v>:</v>
      </c>
      <c r="N160" s="103" t="str">
        <f t="shared" si="62"/>
        <v>:</v>
      </c>
    </row>
    <row r="161" spans="1:14" outlineLevel="1" x14ac:dyDescent="0.35">
      <c r="A161" s="50"/>
      <c r="B161" s="60" t="s">
        <v>15</v>
      </c>
      <c r="C161" s="52" t="str">
        <f>IFERROR(HLOOKUP($B161,FUT_6_Appr_Tot,Age15_29, FALSE)/(HLOOKUP("Total",FUT_6_Appr_Tot,Age15_29, FALSE)-HLOOKUP("Not applicable",FUT_6_Appr_Tot,Age15_29, FALSE)),":")</f>
        <v>:</v>
      </c>
      <c r="D161" s="53" t="str">
        <f>IFERROR(HLOOKUP($B161,FUT_6_Appr_Men,Age15_29, FALSE)/(HLOOKUP("Total",FUT_6_Appr_Men,Age15_29, FALSE)-HLOOKUP("Not applicable",FUT_6_Appr_Men,Age15_29, FALSE)),":")</f>
        <v>:</v>
      </c>
      <c r="E161" s="54" t="str">
        <f>IFERROR(HLOOKUP($B161,FUT_6_Appr_Women,Age15_29, FALSE)/(HLOOKUP("Total",FUT_6_Appr_Women,Age15_29, FALSE)-HLOOKUP("Not applicable",FUT_6_Appr_Women,Age15_29, FALSE)),":")</f>
        <v>:</v>
      </c>
      <c r="F161" s="52" t="str">
        <f>IFERROR(HLOOKUP($B161,FUT_6_Appr_Tot,Age15_19, FALSE)/(HLOOKUP("Total",FUT_6_Appr_Tot,Age15_19, FALSE)-HLOOKUP("Not applicable",FUT_6_Appr_Tot,Age15_19, FALSE)),":")</f>
        <v>:</v>
      </c>
      <c r="G161" s="53" t="str">
        <f>IFERROR(HLOOKUP($B161,FUT_6_Appr_Men,Age15_19, FALSE)/(HLOOKUP("Total",FUT_6_Appr_Men,Age15_19, FALSE)-HLOOKUP("Not applicable",FUT_6_Appr_Men,Age15_19, FALSE)),":")</f>
        <v>:</v>
      </c>
      <c r="H161" s="54" t="str">
        <f>IFERROR(HLOOKUP($B161,FUT_6_Appr_Women,Age15_19, FALSE)/(HLOOKUP("Total",FUT_6_Appr_Women,Age15_19, FALSE)-HLOOKUP("Not applicable",FUT_6_Appr_Women,Age15_19, FALSE)),":")</f>
        <v>:</v>
      </c>
      <c r="I161" s="52" t="str">
        <f>IFERROR(HLOOKUP($B161,FUT_6_Appr_Tot,Age20_24, FALSE)/(HLOOKUP("Total",FUT_6_Appr_Tot,Age20_24, FALSE)-HLOOKUP("Not applicable",FUT_6_Appr_Tot,Age20_24, FALSE)),":")</f>
        <v>:</v>
      </c>
      <c r="J161" s="53" t="str">
        <f>IFERROR(HLOOKUP($B161,FUT_6_Appr_Men,Age20_24, FALSE)/(HLOOKUP("Total",FUT_6_Appr_Men,Age20_24, FALSE)-HLOOKUP("Not applicable",FUT_6_Appr_Men,Age20_24, FALSE)),":")</f>
        <v>:</v>
      </c>
      <c r="K161" s="54" t="str">
        <f>IFERROR(HLOOKUP($B161,FUT_6_Appr_Women,Age20_24, FALSE)/(HLOOKUP("Total",FUT_6_Appr_Women,Age20_24, FALSE)-HLOOKUP("Not applicable",FUT_6_Appr_Women,Age20_24, FALSE)),":")</f>
        <v>:</v>
      </c>
      <c r="L161" s="52" t="str">
        <f>IFERROR(HLOOKUP($B161,FUT_6_Appr_Tot,Age25_29, FALSE)/(HLOOKUP("Total",FUT_6_Appr_Tot,Age25_29, FALSE)-HLOOKUP("Not applicable",FUT_6_Appr_Tot,Age25_29, FALSE)),":")</f>
        <v>:</v>
      </c>
      <c r="M161" s="53" t="str">
        <f>IFERROR(HLOOKUP($B161,FUT_6_Appr_Men,Age25_29, FALSE)/(HLOOKUP("Total",FUT_6_Appr_Men,Age25_29, FALSE)-HLOOKUP("Not applicable",FUT_6_Appr_Men,Age25_29, FALSE)),":")</f>
        <v>:</v>
      </c>
      <c r="N161" s="54" t="str">
        <f>IFERROR(HLOOKUP($B161,FUT_6_Appr_Women,Age25_29, FALSE)/(HLOOKUP("Total",FUT_6_Appr_Women,Age25_29, FALSE)-HLOOKUP("Not applicable",FUT_6_Appr_Women,Age25_29, FALSE)),":")</f>
        <v>:</v>
      </c>
    </row>
    <row r="162" spans="1:14" outlineLevel="1" x14ac:dyDescent="0.35">
      <c r="A162" s="50"/>
      <c r="B162" s="60" t="s">
        <v>16</v>
      </c>
      <c r="C162" s="52" t="str">
        <f>IFERROR(HLOOKUP($B162,FUT_6_Appr_Tot,Age15_29, FALSE)/(HLOOKUP("Total",FUT_6_Appr_Tot,Age15_29, FALSE)-HLOOKUP("Not applicable",FUT_6_Appr_Tot,Age15_29, FALSE)),":")</f>
        <v>:</v>
      </c>
      <c r="D162" s="53" t="str">
        <f>IFERROR(HLOOKUP($B162,FUT_6_Appr_Men,Age15_29, FALSE)/(HLOOKUP("Total",FUT_6_Appr_Men,Age15_29, FALSE)-HLOOKUP("Not applicable",FUT_6_Appr_Men,Age15_29, FALSE)),":")</f>
        <v>:</v>
      </c>
      <c r="E162" s="54" t="str">
        <f>IFERROR(HLOOKUP($B162,FUT_6_Appr_Women,Age15_29, FALSE)/(HLOOKUP("Total",FUT_6_Appr_Women,Age15_29, FALSE)-HLOOKUP("Not applicable",FUT_6_Appr_Women,Age15_29, FALSE)),":")</f>
        <v>:</v>
      </c>
      <c r="F162" s="52" t="str">
        <f>IFERROR(HLOOKUP($B162,FUT_6_Appr_Tot,Age15_19, FALSE)/(HLOOKUP("Total",FUT_6_Appr_Tot,Age15_19, FALSE)-HLOOKUP("Not applicable",FUT_6_Appr_Tot,Age15_19, FALSE)),":")</f>
        <v>:</v>
      </c>
      <c r="G162" s="53" t="str">
        <f>IFERROR(HLOOKUP($B162,FUT_6_Appr_Men,Age15_19, FALSE)/(HLOOKUP("Total",FUT_6_Appr_Men,Age15_19, FALSE)-HLOOKUP("Not applicable",FUT_6_Appr_Men,Age15_19, FALSE)),":")</f>
        <v>:</v>
      </c>
      <c r="H162" s="54" t="str">
        <f>IFERROR(HLOOKUP($B162,FUT_6_Appr_Women,Age15_19, FALSE)/(HLOOKUP("Total",FUT_6_Appr_Women,Age15_19, FALSE)-HLOOKUP("Not applicable",FUT_6_Appr_Women,Age15_19, FALSE)),":")</f>
        <v>:</v>
      </c>
      <c r="I162" s="52" t="str">
        <f>IFERROR(HLOOKUP($B162,FUT_6_Appr_Tot,Age20_24, FALSE)/(HLOOKUP("Total",FUT_6_Appr_Tot,Age20_24, FALSE)-HLOOKUP("Not applicable",FUT_6_Appr_Tot,Age20_24, FALSE)),":")</f>
        <v>:</v>
      </c>
      <c r="J162" s="53" t="str">
        <f>IFERROR(HLOOKUP($B162,FUT_6_Appr_Men,Age20_24, FALSE)/(HLOOKUP("Total",FUT_6_Appr_Men,Age20_24, FALSE)-HLOOKUP("Not applicable",FUT_6_Appr_Men,Age20_24, FALSE)),":")</f>
        <v>:</v>
      </c>
      <c r="K162" s="54" t="str">
        <f>IFERROR(HLOOKUP($B162,FUT_6_Appr_Women,Age20_24, FALSE)/(HLOOKUP("Total",FUT_6_Appr_Women,Age20_24, FALSE)-HLOOKUP("Not applicable",FUT_6_Appr_Women,Age20_24, FALSE)),":")</f>
        <v>:</v>
      </c>
      <c r="L162" s="52" t="str">
        <f>IFERROR(HLOOKUP($B162,FUT_6_Appr_Tot,Age25_29, FALSE)/(HLOOKUP("Total",FUT_6_Appr_Tot,Age25_29, FALSE)-HLOOKUP("Not applicable",FUT_6_Appr_Tot,Age25_29, FALSE)),":")</f>
        <v>:</v>
      </c>
      <c r="M162" s="53" t="str">
        <f>IFERROR(HLOOKUP($B162,FUT_6_Appr_Men,Age25_29, FALSE)/(HLOOKUP("Total",FUT_6_Appr_Men,Age25_29, FALSE)-HLOOKUP("Not applicable",FUT_6_Appr_Men,Age25_29, FALSE)),":")</f>
        <v>:</v>
      </c>
      <c r="N162" s="54" t="str">
        <f>IFERROR(HLOOKUP($B162,FUT_6_Appr_Women,Age25_29, FALSE)/(HLOOKUP("Total",FUT_6_Appr_Women,Age25_29, FALSE)-HLOOKUP("Not applicable",FUT_6_Appr_Women,Age25_29, FALSE)),":")</f>
        <v>:</v>
      </c>
    </row>
    <row r="163" spans="1:14" outlineLevel="1" x14ac:dyDescent="0.35">
      <c r="A163" s="50"/>
      <c r="B163" s="60" t="s">
        <v>17</v>
      </c>
      <c r="C163" s="52" t="str">
        <f>IFERROR(HLOOKUP($B163,FUT_6_Appr_Tot,Age15_29, FALSE)/(HLOOKUP("Total",FUT_6_Appr_Tot,Age15_29, FALSE)-HLOOKUP("Not applicable",FUT_6_Appr_Tot,Age15_29, FALSE)),":")</f>
        <v>:</v>
      </c>
      <c r="D163" s="53" t="str">
        <f>IFERROR(HLOOKUP($B163,FUT_6_Appr_Men,Age15_29, FALSE)/(HLOOKUP("Total",FUT_6_Appr_Men,Age15_29, FALSE)-HLOOKUP("Not applicable",FUT_6_Appr_Men,Age15_29, FALSE)),":")</f>
        <v>:</v>
      </c>
      <c r="E163" s="54" t="str">
        <f>IFERROR(HLOOKUP($B163,FUT_6_Appr_Women,Age15_29, FALSE)/(HLOOKUP("Total",FUT_6_Appr_Women,Age15_29, FALSE)-HLOOKUP("Not applicable",FUT_6_Appr_Women,Age15_29, FALSE)),":")</f>
        <v>:</v>
      </c>
      <c r="F163" s="52" t="str">
        <f>IFERROR(HLOOKUP($B163,FUT_6_Appr_Tot,Age15_19, FALSE)/(HLOOKUP("Total",FUT_6_Appr_Tot,Age15_19, FALSE)-HLOOKUP("Not applicable",FUT_6_Appr_Tot,Age15_19, FALSE)),":")</f>
        <v>:</v>
      </c>
      <c r="G163" s="53" t="str">
        <f>IFERROR(HLOOKUP($B163,FUT_6_Appr_Men,Age15_19, FALSE)/(HLOOKUP("Total",FUT_6_Appr_Men,Age15_19, FALSE)-HLOOKUP("Not applicable",FUT_6_Appr_Men,Age15_19, FALSE)),":")</f>
        <v>:</v>
      </c>
      <c r="H163" s="54" t="str">
        <f>IFERROR(HLOOKUP($B163,FUT_6_Appr_Women,Age15_19, FALSE)/(HLOOKUP("Total",FUT_6_Appr_Women,Age15_19, FALSE)-HLOOKUP("Not applicable",FUT_6_Appr_Women,Age15_19, FALSE)),":")</f>
        <v>:</v>
      </c>
      <c r="I163" s="52" t="str">
        <f>IFERROR(HLOOKUP($B163,FUT_6_Appr_Tot,Age20_24, FALSE)/(HLOOKUP("Total",FUT_6_Appr_Tot,Age20_24, FALSE)-HLOOKUP("Not applicable",FUT_6_Appr_Tot,Age20_24, FALSE)),":")</f>
        <v>:</v>
      </c>
      <c r="J163" s="53" t="str">
        <f>IFERROR(HLOOKUP($B163,FUT_6_Appr_Men,Age20_24, FALSE)/(HLOOKUP("Total",FUT_6_Appr_Men,Age20_24, FALSE)-HLOOKUP("Not applicable",FUT_6_Appr_Men,Age20_24, FALSE)),":")</f>
        <v>:</v>
      </c>
      <c r="K163" s="54" t="str">
        <f>IFERROR(HLOOKUP($B163,FUT_6_Appr_Women,Age20_24, FALSE)/(HLOOKUP("Total",FUT_6_Appr_Women,Age20_24, FALSE)-HLOOKUP("Not applicable",FUT_6_Appr_Women,Age20_24, FALSE)),":")</f>
        <v>:</v>
      </c>
      <c r="L163" s="52" t="str">
        <f>IFERROR(HLOOKUP($B163,FUT_6_Appr_Tot,Age25_29, FALSE)/(HLOOKUP("Total",FUT_6_Appr_Tot,Age25_29, FALSE)-HLOOKUP("Not applicable",FUT_6_Appr_Tot,Age25_29, FALSE)),":")</f>
        <v>:</v>
      </c>
      <c r="M163" s="53" t="str">
        <f>IFERROR(HLOOKUP($B163,FUT_6_Appr_Men,Age25_29, FALSE)/(HLOOKUP("Total",FUT_6_Appr_Men,Age25_29, FALSE)-HLOOKUP("Not applicable",FUT_6_Appr_Men,Age25_29, FALSE)),":")</f>
        <v>:</v>
      </c>
      <c r="N163" s="54" t="str">
        <f>IFERROR(HLOOKUP($B163,FUT_6_Appr_Women,Age25_29, FALSE)/(HLOOKUP("Total",FUT_6_Appr_Women,Age25_29, FALSE)-HLOOKUP("Not applicable",FUT_6_Appr_Women,Age25_29, FALSE)),":")</f>
        <v>:</v>
      </c>
    </row>
    <row r="164" spans="1:14" outlineLevel="1" x14ac:dyDescent="0.35">
      <c r="A164" s="50"/>
      <c r="B164" s="60" t="s">
        <v>18</v>
      </c>
      <c r="C164" s="52" t="str">
        <f>IFERROR(HLOOKUP($B164,FUT_6_Appr_Tot,Age15_29, FALSE)/(HLOOKUP("Total",FUT_6_Appr_Tot,Age15_29, FALSE)-HLOOKUP("Not applicable",FUT_6_Appr_Tot,Age15_29, FALSE)),":")</f>
        <v>:</v>
      </c>
      <c r="D164" s="53" t="str">
        <f>IFERROR(HLOOKUP($B164,FUT_6_Appr_Men,Age15_29, FALSE)/(HLOOKUP("Total",FUT_6_Appr_Men,Age15_29, FALSE)-HLOOKUP("Not applicable",FUT_6_Appr_Men,Age15_29, FALSE)),":")</f>
        <v>:</v>
      </c>
      <c r="E164" s="54" t="str">
        <f>IFERROR(HLOOKUP($B164,FUT_6_Appr_Women,Age15_29, FALSE)/(HLOOKUP("Total",FUT_6_Appr_Women,Age15_29, FALSE)-HLOOKUP("Not applicable",FUT_6_Appr_Women,Age15_29, FALSE)),":")</f>
        <v>:</v>
      </c>
      <c r="F164" s="52" t="str">
        <f>IFERROR(HLOOKUP($B164,FUT_6_Appr_Tot,Age15_19, FALSE)/(HLOOKUP("Total",FUT_6_Appr_Tot,Age15_19, FALSE)-HLOOKUP("Not applicable",FUT_6_Appr_Tot,Age15_19, FALSE)),":")</f>
        <v>:</v>
      </c>
      <c r="G164" s="53" t="str">
        <f>IFERROR(HLOOKUP($B164,FUT_6_Appr_Men,Age15_19, FALSE)/(HLOOKUP("Total",FUT_6_Appr_Men,Age15_19, FALSE)-HLOOKUP("Not applicable",FUT_6_Appr_Men,Age15_19, FALSE)),":")</f>
        <v>:</v>
      </c>
      <c r="H164" s="54" t="str">
        <f>IFERROR(HLOOKUP($B164,FUT_6_Appr_Women,Age15_19, FALSE)/(HLOOKUP("Total",FUT_6_Appr_Women,Age15_19, FALSE)-HLOOKUP("Not applicable",FUT_6_Appr_Women,Age15_19, FALSE)),":")</f>
        <v>:</v>
      </c>
      <c r="I164" s="52" t="str">
        <f>IFERROR(HLOOKUP($B164,FUT_6_Appr_Tot,Age20_24, FALSE)/(HLOOKUP("Total",FUT_6_Appr_Tot,Age20_24, FALSE)-HLOOKUP("Not applicable",FUT_6_Appr_Tot,Age20_24, FALSE)),":")</f>
        <v>:</v>
      </c>
      <c r="J164" s="53" t="str">
        <f>IFERROR(HLOOKUP($B164,FUT_6_Appr_Men,Age20_24, FALSE)/(HLOOKUP("Total",FUT_6_Appr_Men,Age20_24, FALSE)-HLOOKUP("Not applicable",FUT_6_Appr_Men,Age20_24, FALSE)),":")</f>
        <v>:</v>
      </c>
      <c r="K164" s="54" t="str">
        <f>IFERROR(HLOOKUP($B164,FUT_6_Appr_Women,Age20_24, FALSE)/(HLOOKUP("Total",FUT_6_Appr_Women,Age20_24, FALSE)-HLOOKUP("Not applicable",FUT_6_Appr_Women,Age20_24, FALSE)),":")</f>
        <v>:</v>
      </c>
      <c r="L164" s="52" t="str">
        <f>IFERROR(HLOOKUP($B164,FUT_6_Appr_Tot,Age25_29, FALSE)/(HLOOKUP("Total",FUT_6_Appr_Tot,Age25_29, FALSE)-HLOOKUP("Not applicable",FUT_6_Appr_Tot,Age25_29, FALSE)),":")</f>
        <v>:</v>
      </c>
      <c r="M164" s="53" t="str">
        <f>IFERROR(HLOOKUP($B164,FUT_6_Appr_Men,Age25_29, FALSE)/(HLOOKUP("Total",FUT_6_Appr_Men,Age25_29, FALSE)-HLOOKUP("Not applicable",FUT_6_Appr_Men,Age25_29, FALSE)),":")</f>
        <v>:</v>
      </c>
      <c r="N164" s="54" t="str">
        <f>IFERROR(HLOOKUP($B164,FUT_6_Appr_Women,Age25_29, FALSE)/(HLOOKUP("Total",FUT_6_Appr_Women,Age25_29, FALSE)-HLOOKUP("Not applicable",FUT_6_Appr_Women,Age25_29, FALSE)),":")</f>
        <v>:</v>
      </c>
    </row>
    <row r="165" spans="1:14" x14ac:dyDescent="0.35">
      <c r="A165" s="99" t="s">
        <v>194</v>
      </c>
      <c r="B165" s="104"/>
      <c r="C165" s="101" t="str">
        <f t="shared" ref="C165:E165" si="63">IF(COUNT(C166:C167)&gt;0,SUM(C166:C167),":")</f>
        <v>:</v>
      </c>
      <c r="D165" s="102" t="str">
        <f t="shared" si="63"/>
        <v>:</v>
      </c>
      <c r="E165" s="103" t="str">
        <f t="shared" si="63"/>
        <v>:</v>
      </c>
      <c r="F165" s="101" t="str">
        <f t="shared" ref="F165:K165" si="64">IF(COUNT(F166:F167)&gt;0,SUM(F166:F167),":")</f>
        <v>:</v>
      </c>
      <c r="G165" s="102" t="str">
        <f t="shared" si="64"/>
        <v>:</v>
      </c>
      <c r="H165" s="103" t="str">
        <f t="shared" si="64"/>
        <v>:</v>
      </c>
      <c r="I165" s="101" t="str">
        <f t="shared" si="64"/>
        <v>:</v>
      </c>
      <c r="J165" s="102" t="str">
        <f t="shared" si="64"/>
        <v>:</v>
      </c>
      <c r="K165" s="103" t="str">
        <f t="shared" si="64"/>
        <v>:</v>
      </c>
      <c r="L165" s="101" t="str">
        <f t="shared" ref="L165:N165" si="65">IF(COUNT(L166:L167)&gt;0,SUM(L166:L167),":")</f>
        <v>:</v>
      </c>
      <c r="M165" s="102" t="str">
        <f t="shared" si="65"/>
        <v>:</v>
      </c>
      <c r="N165" s="103" t="str">
        <f t="shared" si="65"/>
        <v>:</v>
      </c>
    </row>
    <row r="166" spans="1:14" outlineLevel="1" x14ac:dyDescent="0.35">
      <c r="A166" s="50"/>
      <c r="B166" s="60" t="s">
        <v>20</v>
      </c>
      <c r="C166" s="52" t="str">
        <f>IFERROR(HLOOKUP($B166,FUT_6_Appr_Tot,Age15_29, FALSE)/(HLOOKUP("Total",FUT_6_Appr_Tot,Age15_29, FALSE)-HLOOKUP("Not applicable",FUT_6_Appr_Tot,Age15_29, FALSE)),":")</f>
        <v>:</v>
      </c>
      <c r="D166" s="53" t="str">
        <f>IFERROR(HLOOKUP($B166,FUT_6_Appr_Men,Age15_29, FALSE)/(HLOOKUP("Total",FUT_6_Appr_Men,Age15_29, FALSE)-HLOOKUP("Not applicable",FUT_6_Appr_Men,Age15_29, FALSE)),":")</f>
        <v>:</v>
      </c>
      <c r="E166" s="54" t="str">
        <f>IFERROR(HLOOKUP($B166,FUT_6_Appr_Women,Age15_29, FALSE)/(HLOOKUP("Total",FUT_6_Appr_Women,Age15_29, FALSE)-HLOOKUP("Not applicable",FUT_6_Appr_Women,Age15_29, FALSE)),":")</f>
        <v>:</v>
      </c>
      <c r="F166" s="52" t="str">
        <f>IFERROR(HLOOKUP($B166,FUT_6_Appr_Tot,Age15_19, FALSE)/(HLOOKUP("Total",FUT_6_Appr_Tot,Age15_19, FALSE)-HLOOKUP("Not applicable",FUT_6_Appr_Tot,Age15_19, FALSE)),":")</f>
        <v>:</v>
      </c>
      <c r="G166" s="53" t="str">
        <f>IFERROR(HLOOKUP($B166,FUT_6_Appr_Men,Age15_19, FALSE)/(HLOOKUP("Total",FUT_6_Appr_Men,Age15_19, FALSE)-HLOOKUP("Not applicable",FUT_6_Appr_Men,Age15_19, FALSE)),":")</f>
        <v>:</v>
      </c>
      <c r="H166" s="54" t="str">
        <f>IFERROR(HLOOKUP($B166,FUT_6_Appr_Women,Age15_19, FALSE)/(HLOOKUP("Total",FUT_6_Appr_Women,Age15_19, FALSE)-HLOOKUP("Not applicable",FUT_6_Appr_Women,Age15_19, FALSE)),":")</f>
        <v>:</v>
      </c>
      <c r="I166" s="52" t="str">
        <f>IFERROR(HLOOKUP($B166,FUT_6_Appr_Tot,Age20_24, FALSE)/(HLOOKUP("Total",FUT_6_Appr_Tot,Age20_24, FALSE)-HLOOKUP("Not applicable",FUT_6_Appr_Tot,Age20_24, FALSE)),":")</f>
        <v>:</v>
      </c>
      <c r="J166" s="53" t="str">
        <f>IFERROR(HLOOKUP($B166,FUT_6_Appr_Men,Age20_24, FALSE)/(HLOOKUP("Total",FUT_6_Appr_Men,Age20_24, FALSE)-HLOOKUP("Not applicable",FUT_6_Appr_Men,Age20_24, FALSE)),":")</f>
        <v>:</v>
      </c>
      <c r="K166" s="54" t="str">
        <f>IFERROR(HLOOKUP($B166,FUT_6_Appr_Women,Age20_24, FALSE)/(HLOOKUP("Total",FUT_6_Appr_Women,Age20_24, FALSE)-HLOOKUP("Not applicable",FUT_6_Appr_Women,Age20_24, FALSE)),":")</f>
        <v>:</v>
      </c>
      <c r="L166" s="52" t="str">
        <f>IFERROR(HLOOKUP($B166,FUT_6_Appr_Tot,Age25_29, FALSE)/(HLOOKUP("Total",FUT_6_Appr_Tot,Age25_29, FALSE)-HLOOKUP("Not applicable",FUT_6_Appr_Tot,Age25_29, FALSE)),":")</f>
        <v>:</v>
      </c>
      <c r="M166" s="53" t="str">
        <f>IFERROR(HLOOKUP($B166,FUT_6_Appr_Men,Age25_29, FALSE)/(HLOOKUP("Total",FUT_6_Appr_Men,Age25_29, FALSE)-HLOOKUP("Not applicable",FUT_6_Appr_Men,Age25_29, FALSE)),":")</f>
        <v>:</v>
      </c>
      <c r="N166" s="54" t="str">
        <f>IFERROR(HLOOKUP($B166,FUT_6_Appr_Women,Age25_29, FALSE)/(HLOOKUP("Total",FUT_6_Appr_Women,Age25_29, FALSE)-HLOOKUP("Not applicable",FUT_6_Appr_Women,Age25_29, FALSE)),":")</f>
        <v>:</v>
      </c>
    </row>
    <row r="167" spans="1:14" outlineLevel="1" x14ac:dyDescent="0.35">
      <c r="A167" s="50"/>
      <c r="B167" s="60" t="s">
        <v>100</v>
      </c>
      <c r="C167" s="52" t="str">
        <f>IFERROR(HLOOKUP($B167,FUT_6_Appr_Tot,Age15_29, FALSE)/(HLOOKUP("Total",FUT_6_Appr_Tot,Age15_29, FALSE)-HLOOKUP("Not applicable",FUT_6_Appr_Tot,Age15_29, FALSE)),":")</f>
        <v>:</v>
      </c>
      <c r="D167" s="53" t="str">
        <f>IFERROR(HLOOKUP($B167,FUT_6_Appr_Men,Age15_29, FALSE)/(HLOOKUP("Total",FUT_6_Appr_Men,Age15_29, FALSE)-HLOOKUP("Not applicable",FUT_6_Appr_Men,Age15_29, FALSE)),":")</f>
        <v>:</v>
      </c>
      <c r="E167" s="54" t="str">
        <f>IFERROR(HLOOKUP($B167,FUT_6_Appr_Women,Age15_29, FALSE)/(HLOOKUP("Total",FUT_6_Appr_Women,Age15_29, FALSE)-HLOOKUP("Not applicable",FUT_6_Appr_Women,Age15_29, FALSE)),":")</f>
        <v>:</v>
      </c>
      <c r="F167" s="52" t="str">
        <f>IFERROR(HLOOKUP($B167,FUT_6_Appr_Tot,Age15_19, FALSE)/(HLOOKUP("Total",FUT_6_Appr_Tot,Age15_19, FALSE)-HLOOKUP("Not applicable",FUT_6_Appr_Tot,Age15_19, FALSE)),":")</f>
        <v>:</v>
      </c>
      <c r="G167" s="53" t="str">
        <f>IFERROR(HLOOKUP($B167,FUT_6_Appr_Men,Age15_19, FALSE)/(HLOOKUP("Total",FUT_6_Appr_Men,Age15_19, FALSE)-HLOOKUP("Not applicable",FUT_6_Appr_Men,Age15_19, FALSE)),":")</f>
        <v>:</v>
      </c>
      <c r="H167" s="54" t="str">
        <f>IFERROR(HLOOKUP($B167,FUT_6_Appr_Women,Age15_19, FALSE)/(HLOOKUP("Total",FUT_6_Appr_Women,Age15_19, FALSE)-HLOOKUP("Not applicable",FUT_6_Appr_Women,Age15_19, FALSE)),":")</f>
        <v>:</v>
      </c>
      <c r="I167" s="52" t="str">
        <f>IFERROR(HLOOKUP($B167,FUT_6_Appr_Tot,Age20_24, FALSE)/(HLOOKUP("Total",FUT_6_Appr_Tot,Age20_24, FALSE)-HLOOKUP("Not applicable",FUT_6_Appr_Tot,Age20_24, FALSE)),":")</f>
        <v>:</v>
      </c>
      <c r="J167" s="53" t="str">
        <f>IFERROR(HLOOKUP($B167,FUT_6_Appr_Men,Age20_24, FALSE)/(HLOOKUP("Total",FUT_6_Appr_Men,Age20_24, FALSE)-HLOOKUP("Not applicable",FUT_6_Appr_Men,Age20_24, FALSE)),":")</f>
        <v>:</v>
      </c>
      <c r="K167" s="54" t="str">
        <f>IFERROR(HLOOKUP($B167,FUT_6_Appr_Women,Age20_24, FALSE)/(HLOOKUP("Total",FUT_6_Appr_Women,Age20_24, FALSE)-HLOOKUP("Not applicable",FUT_6_Appr_Women,Age20_24, FALSE)),":")</f>
        <v>:</v>
      </c>
      <c r="L167" s="52" t="str">
        <f>IFERROR(HLOOKUP($B167,FUT_6_Appr_Tot,Age25_29, FALSE)/(HLOOKUP("Total",FUT_6_Appr_Tot,Age25_29, FALSE)-HLOOKUP("Not applicable",FUT_6_Appr_Tot,Age25_29, FALSE)),":")</f>
        <v>:</v>
      </c>
      <c r="M167" s="53" t="str">
        <f>IFERROR(HLOOKUP($B167,FUT_6_Appr_Men,Age25_29, FALSE)/(HLOOKUP("Total",FUT_6_Appr_Men,Age25_29, FALSE)-HLOOKUP("Not applicable",FUT_6_Appr_Men,Age25_29, FALSE)),":")</f>
        <v>:</v>
      </c>
      <c r="N167" s="54" t="str">
        <f>IFERROR(HLOOKUP($B167,FUT_6_Appr_Women,Age25_29, FALSE)/(HLOOKUP("Total",FUT_6_Appr_Women,Age25_29, FALSE)-HLOOKUP("Not applicable",FUT_6_Appr_Women,Age25_29, FALSE)),":")</f>
        <v>:</v>
      </c>
    </row>
    <row r="168" spans="1:14" ht="15" thickBot="1" x14ac:dyDescent="0.4">
      <c r="A168" s="105" t="s">
        <v>21</v>
      </c>
      <c r="B168" s="106"/>
      <c r="C168" s="107" t="str">
        <f>IFERROR(HLOOKUP($A168,FUT_6_Appr_Tot,Age15_29, FALSE)/(HLOOKUP("Total",FUT_6_Appr_Tot,Age15_29, FALSE)-HLOOKUP("Not applicable",FUT_6_Appr_Tot,Age15_29, FALSE)),":")</f>
        <v>:</v>
      </c>
      <c r="D168" s="108" t="str">
        <f>IFERROR(HLOOKUP($A168,FUT_6_Appr_Men,Age15_29, FALSE)/(HLOOKUP("Total",FUT_6_Appr_Men,Age15_29, FALSE)-HLOOKUP("Not applicable",FUT_6_Appr_Men,Age15_29, FALSE)),":")</f>
        <v>:</v>
      </c>
      <c r="E168" s="109" t="str">
        <f>IFERROR(HLOOKUP($A168,FUT_6_Appr_Women,Age15_29, FALSE)/(HLOOKUP("Total",FUT_6_Appr_Women,Age15_29, FALSE)-HLOOKUP("Not applicable",FUT_6_Appr_Women,Age15_29, FALSE)),":")</f>
        <v>:</v>
      </c>
      <c r="F168" s="107" t="str">
        <f>IFERROR(HLOOKUP($A168,FUT_6_Appr_Tot,Age15_19, FALSE)/(HLOOKUP("Total",FUT_6_Appr_Tot,Age15_19, FALSE)-HLOOKUP("Not applicable",FUT_6_Appr_Tot,Age15_19, FALSE)),":")</f>
        <v>:</v>
      </c>
      <c r="G168" s="108" t="str">
        <f>IFERROR(HLOOKUP($A168,FUT_6_Appr_Men,Age15_19, FALSE)/(HLOOKUP("Total",FUT_6_Appr_Men,Age15_19, FALSE)-HLOOKUP("Not applicable",FUT_6_Appr_Men,Age15_19, FALSE)),":")</f>
        <v>:</v>
      </c>
      <c r="H168" s="109" t="str">
        <f>IFERROR(HLOOKUP($A168,FUT_6_Appr_Women,Age15_19, FALSE)/(HLOOKUP("Total",FUT_6_Appr_Women,Age15_19, FALSE)-HLOOKUP("Not applicable",FUT_6_Appr_Women,Age15_19, FALSE)),":")</f>
        <v>:</v>
      </c>
      <c r="I168" s="107" t="str">
        <f>IFERROR(HLOOKUP($A168,FUT_6_Appr_Tot,Age20_24, FALSE)/(HLOOKUP("Total",FUT_6_Appr_Tot,Age20_24, FALSE)-HLOOKUP("Not applicable",FUT_6_Appr_Tot,Age20_24, FALSE)),":")</f>
        <v>:</v>
      </c>
      <c r="J168" s="108" t="str">
        <f>IFERROR(HLOOKUP($A168,FUT_6_Appr_Men,Age20_24, FALSE)/(HLOOKUP("Total",FUT_6_Appr_Men,Age20_24, FALSE)-HLOOKUP("Not applicable",FUT_6_Appr_Men,Age20_24, FALSE)),":")</f>
        <v>:</v>
      </c>
      <c r="K168" s="109" t="str">
        <f>IFERROR(HLOOKUP($A168,FUT_6_Appr_Women,Age20_24, FALSE)/(HLOOKUP("Total",FUT_6_Appr_Women,Age20_24, FALSE)-HLOOKUP("Not applicable",FUT_6_Appr_Women,Age20_24, FALSE)),":")</f>
        <v>:</v>
      </c>
      <c r="L168" s="107" t="str">
        <f>IFERROR(HLOOKUP($A168,FUT_6_Appr_Tot,Age25_29, FALSE)/(HLOOKUP("Total",FUT_6_Appr_Tot,Age25_29, FALSE)-HLOOKUP("Not applicable",FUT_6_Appr_Tot,Age25_29, FALSE)),":")</f>
        <v>:</v>
      </c>
      <c r="M168" s="108" t="str">
        <f>IFERROR(HLOOKUP($A168,FUT_6_Appr_Men,Age25_29, FALSE)/(HLOOKUP("Total",FUT_6_Appr_Men,Age25_29, FALSE)-HLOOKUP("Not applicable",FUT_6_Appr_Men,Age25_29, FALSE)),":")</f>
        <v>:</v>
      </c>
      <c r="N168" s="109" t="str">
        <f>IFERROR(HLOOKUP($A168,FUT_6_Appr_Women,Age25_29, FALSE)/(HLOOKUP("Total",FUT_6_Appr_Women,Age25_29, FALSE)-HLOOKUP("Not applicable",FUT_6_Appr_Women,Age25_29, FALSE)),":")</f>
        <v>:</v>
      </c>
    </row>
    <row r="169" spans="1:14" ht="15.5" thickTop="1" thickBot="1" x14ac:dyDescent="0.4"/>
    <row r="170" spans="1:14" ht="15.75" customHeight="1" thickTop="1" x14ac:dyDescent="0.35">
      <c r="A170" s="361" t="s">
        <v>196</v>
      </c>
      <c r="B170" s="369"/>
      <c r="C170" s="365" t="s">
        <v>240</v>
      </c>
      <c r="D170" s="366"/>
      <c r="E170" s="367"/>
      <c r="F170" s="365" t="s">
        <v>11</v>
      </c>
      <c r="G170" s="366"/>
      <c r="H170" s="367"/>
      <c r="I170" s="368" t="s">
        <v>13</v>
      </c>
      <c r="J170" s="366"/>
      <c r="K170" s="367"/>
      <c r="L170" s="365" t="s">
        <v>239</v>
      </c>
      <c r="M170" s="366"/>
      <c r="N170" s="373"/>
    </row>
    <row r="171" spans="1:14" x14ac:dyDescent="0.35">
      <c r="A171" s="363"/>
      <c r="B171" s="370"/>
      <c r="C171" s="49" t="s">
        <v>3</v>
      </c>
      <c r="D171" s="47" t="s">
        <v>4</v>
      </c>
      <c r="E171" s="48" t="s">
        <v>5</v>
      </c>
      <c r="F171" s="49" t="s">
        <v>3</v>
      </c>
      <c r="G171" s="47" t="s">
        <v>4</v>
      </c>
      <c r="H171" s="48" t="s">
        <v>5</v>
      </c>
      <c r="I171" s="46" t="s">
        <v>3</v>
      </c>
      <c r="J171" s="47" t="s">
        <v>4</v>
      </c>
      <c r="K171" s="48" t="s">
        <v>5</v>
      </c>
      <c r="L171" s="49" t="s">
        <v>3</v>
      </c>
      <c r="M171" s="47" t="s">
        <v>4</v>
      </c>
      <c r="N171" s="204" t="s">
        <v>5</v>
      </c>
    </row>
    <row r="172" spans="1:14" x14ac:dyDescent="0.35">
      <c r="A172" s="99" t="s">
        <v>193</v>
      </c>
      <c r="B172" s="100"/>
      <c r="C172" s="101" t="str">
        <f t="shared" ref="C172:E172" si="66">IF(COUNT(C173:C176)&gt;0,SUM(C173:C176),":")</f>
        <v>:</v>
      </c>
      <c r="D172" s="102" t="str">
        <f t="shared" si="66"/>
        <v>:</v>
      </c>
      <c r="E172" s="103" t="str">
        <f t="shared" si="66"/>
        <v>:</v>
      </c>
      <c r="F172" s="101" t="str">
        <f t="shared" ref="F172:K172" si="67">IF(COUNT(F173:F176)&gt;0,SUM(F173:F176),":")</f>
        <v>:</v>
      </c>
      <c r="G172" s="102" t="str">
        <f t="shared" si="67"/>
        <v>:</v>
      </c>
      <c r="H172" s="103" t="str">
        <f t="shared" si="67"/>
        <v>:</v>
      </c>
      <c r="I172" s="101" t="str">
        <f t="shared" si="67"/>
        <v>:</v>
      </c>
      <c r="J172" s="102" t="str">
        <f t="shared" si="67"/>
        <v>:</v>
      </c>
      <c r="K172" s="103" t="str">
        <f t="shared" si="67"/>
        <v>:</v>
      </c>
      <c r="L172" s="101" t="str">
        <f t="shared" ref="L172:N172" si="68">IF(COUNT(L173:L176)&gt;0,SUM(L173:L176),":")</f>
        <v>:</v>
      </c>
      <c r="M172" s="102" t="str">
        <f t="shared" si="68"/>
        <v>:</v>
      </c>
      <c r="N172" s="103" t="str">
        <f t="shared" si="68"/>
        <v>:</v>
      </c>
    </row>
    <row r="173" spans="1:14" outlineLevel="1" x14ac:dyDescent="0.35">
      <c r="A173" s="50"/>
      <c r="B173" s="60" t="s">
        <v>15</v>
      </c>
      <c r="C173" s="52" t="str">
        <f>IFERROR(HLOOKUP($B173,FUT_12_Appr_Tot,Age15_29, FALSE)/(HLOOKUP("Total",FUT_12_Appr_Tot,Age15_29, FALSE)-HLOOKUP("Not applicable",FUT_12_Appr_Tot,Age15_29, FALSE)),":")</f>
        <v>:</v>
      </c>
      <c r="D173" s="53" t="str">
        <f>IFERROR(HLOOKUP($B173,FUT_12_Appr_Men,Age15_29, FALSE)/(HLOOKUP("Total",FUT_12_Appr_Men,Age15_29, FALSE)-HLOOKUP("Not applicable",FUT_12_Appr_Men,Age15_29, FALSE)),":")</f>
        <v>:</v>
      </c>
      <c r="E173" s="54" t="str">
        <f>IFERROR(HLOOKUP($B173,FUT_12_Appr_Women,Age15_29, FALSE)/(HLOOKUP("Total",FUT_12_Appr_Women,Age15_29, FALSE)-HLOOKUP("Not applicable",FUT_12_Appr_Women,Age15_29, FALSE)),":")</f>
        <v>:</v>
      </c>
      <c r="F173" s="52" t="str">
        <f>IFERROR(HLOOKUP($B173,FUT_12_Appr_Tot,Age15_19, FALSE)/(HLOOKUP("Total",FUT_12_Appr_Tot,Age15_19, FALSE)-HLOOKUP("Not applicable",FUT_12_Appr_Tot,Age15_19, FALSE)),":")</f>
        <v>:</v>
      </c>
      <c r="G173" s="53" t="str">
        <f>IFERROR(HLOOKUP($B173,FUT_12_Appr_Men,Age15_19, FALSE)/(HLOOKUP("Total",FUT_12_Appr_Men,Age15_19, FALSE)-HLOOKUP("Not applicable",FUT_12_Appr_Men,Age15_19, FALSE)),":")</f>
        <v>:</v>
      </c>
      <c r="H173" s="54" t="str">
        <f>IFERROR(HLOOKUP($B173,FUT_12_Appr_Women,Age15_19, FALSE)/(HLOOKUP("Total",FUT_12_Appr_Women,Age15_19, FALSE)-HLOOKUP("Not applicable",FUT_12_Appr_Women,Age15_19, FALSE)),":")</f>
        <v>:</v>
      </c>
      <c r="I173" s="52" t="str">
        <f>IFERROR(HLOOKUP($B173,FUT_12_Appr_Tot,Age20_24, FALSE)/(HLOOKUP("Total",FUT_12_Appr_Tot,Age20_24, FALSE)-HLOOKUP("Not applicable",FUT_12_Appr_Tot,Age20_24, FALSE)),":")</f>
        <v>:</v>
      </c>
      <c r="J173" s="53" t="str">
        <f>IFERROR(HLOOKUP($B173,FUT_12_Appr_Men,Age20_24, FALSE)/(HLOOKUP("Total",FUT_12_Appr_Men,Age20_24, FALSE)-HLOOKUP("Not applicable",FUT_12_Appr_Men,Age20_24, FALSE)),":")</f>
        <v>:</v>
      </c>
      <c r="K173" s="54" t="str">
        <f>IFERROR(HLOOKUP($B173,FUT_12_Appr_Women,Age20_24, FALSE)/(HLOOKUP("Total",FUT_12_Appr_Women,Age20_24, FALSE)-HLOOKUP("Not applicable",FUT_12_Appr_Women,Age20_24, FALSE)),":")</f>
        <v>:</v>
      </c>
      <c r="L173" s="52" t="str">
        <f>IFERROR(HLOOKUP($B173,FUT_12_Appr_Tot,Age25_29, FALSE)/(HLOOKUP("Total",FUT_12_Appr_Tot,Age25_29, FALSE)-HLOOKUP("Not applicable",FUT_12_Appr_Tot,Age25_29, FALSE)),":")</f>
        <v>:</v>
      </c>
      <c r="M173" s="53" t="str">
        <f>IFERROR(HLOOKUP($B173,FUT_12_Appr_Men,Age25_29, FALSE)/(HLOOKUP("Total",FUT_12_Appr_Men,Age25_29, FALSE)-HLOOKUP("Not applicable",FUT_12_Appr_Men,Age25_29, FALSE)),":")</f>
        <v>:</v>
      </c>
      <c r="N173" s="54" t="str">
        <f>IFERROR(HLOOKUP($B173,FUT_12_Appr_Women,Age25_29, FALSE)/(HLOOKUP("Total",FUT_12_Appr_Women,Age25_29, FALSE)-HLOOKUP("Not applicable",FUT_12_Appr_Women,Age25_29, FALSE)),":")</f>
        <v>:</v>
      </c>
    </row>
    <row r="174" spans="1:14" outlineLevel="1" x14ac:dyDescent="0.35">
      <c r="A174" s="50"/>
      <c r="B174" s="60" t="s">
        <v>16</v>
      </c>
      <c r="C174" s="52" t="str">
        <f>IFERROR(HLOOKUP($B174,FUT_12_Appr_Tot,Age15_29, FALSE)/(HLOOKUP("Total",FUT_12_Appr_Tot,Age15_29, FALSE)-HLOOKUP("Not applicable",FUT_12_Appr_Tot,Age15_29, FALSE)),":")</f>
        <v>:</v>
      </c>
      <c r="D174" s="53" t="str">
        <f>IFERROR(HLOOKUP($B174,FUT_12_Appr_Men,Age15_29, FALSE)/(HLOOKUP("Total",FUT_12_Appr_Men,Age15_29, FALSE)-HLOOKUP("Not applicable",FUT_12_Appr_Men,Age15_29, FALSE)),":")</f>
        <v>:</v>
      </c>
      <c r="E174" s="54" t="str">
        <f>IFERROR(HLOOKUP($B174,FUT_12_Appr_Women,Age15_29, FALSE)/(HLOOKUP("Total",FUT_12_Appr_Women,Age15_29, FALSE)-HLOOKUP("Not applicable",FUT_12_Appr_Women,Age15_29, FALSE)),":")</f>
        <v>:</v>
      </c>
      <c r="F174" s="52" t="str">
        <f>IFERROR(HLOOKUP($B174,FUT_12_Appr_Tot,Age15_19, FALSE)/(HLOOKUP("Total",FUT_12_Appr_Tot,Age15_19, FALSE)-HLOOKUP("Not applicable",FUT_12_Appr_Tot,Age15_19, FALSE)),":")</f>
        <v>:</v>
      </c>
      <c r="G174" s="53" t="str">
        <f>IFERROR(HLOOKUP($B174,FUT_12_Appr_Men,Age15_19, FALSE)/(HLOOKUP("Total",FUT_12_Appr_Men,Age15_19, FALSE)-HLOOKUP("Not applicable",FUT_12_Appr_Men,Age15_19, FALSE)),":")</f>
        <v>:</v>
      </c>
      <c r="H174" s="54" t="str">
        <f>IFERROR(HLOOKUP($B174,FUT_12_Appr_Women,Age15_19, FALSE)/(HLOOKUP("Total",FUT_12_Appr_Women,Age15_19, FALSE)-HLOOKUP("Not applicable",FUT_12_Appr_Women,Age15_19, FALSE)),":")</f>
        <v>:</v>
      </c>
      <c r="I174" s="52" t="str">
        <f>IFERROR(HLOOKUP($B174,FUT_12_Appr_Tot,Age20_24, FALSE)/(HLOOKUP("Total",FUT_12_Appr_Tot,Age20_24, FALSE)-HLOOKUP("Not applicable",FUT_12_Appr_Tot,Age20_24, FALSE)),":")</f>
        <v>:</v>
      </c>
      <c r="J174" s="53" t="str">
        <f>IFERROR(HLOOKUP($B174,FUT_12_Appr_Men,Age20_24, FALSE)/(HLOOKUP("Total",FUT_12_Appr_Men,Age20_24, FALSE)-HLOOKUP("Not applicable",FUT_12_Appr_Men,Age20_24, FALSE)),":")</f>
        <v>:</v>
      </c>
      <c r="K174" s="54" t="str">
        <f>IFERROR(HLOOKUP($B174,FUT_12_Appr_Women,Age20_24, FALSE)/(HLOOKUP("Total",FUT_12_Appr_Women,Age20_24, FALSE)-HLOOKUP("Not applicable",FUT_12_Appr_Women,Age20_24, FALSE)),":")</f>
        <v>:</v>
      </c>
      <c r="L174" s="52" t="str">
        <f>IFERROR(HLOOKUP($B174,FUT_12_Appr_Tot,Age25_29, FALSE)/(HLOOKUP("Total",FUT_12_Appr_Tot,Age25_29, FALSE)-HLOOKUP("Not applicable",FUT_12_Appr_Tot,Age25_29, FALSE)),":")</f>
        <v>:</v>
      </c>
      <c r="M174" s="53" t="str">
        <f>IFERROR(HLOOKUP($B174,FUT_12_Appr_Men,Age25_29, FALSE)/(HLOOKUP("Total",FUT_12_Appr_Men,Age25_29, FALSE)-HLOOKUP("Not applicable",FUT_12_Appr_Men,Age25_29, FALSE)),":")</f>
        <v>:</v>
      </c>
      <c r="N174" s="54" t="str">
        <f>IFERROR(HLOOKUP($B174,FUT_12_Appr_Women,Age25_29, FALSE)/(HLOOKUP("Total",FUT_12_Appr_Women,Age25_29, FALSE)-HLOOKUP("Not applicable",FUT_12_Appr_Women,Age25_29, FALSE)),":")</f>
        <v>:</v>
      </c>
    </row>
    <row r="175" spans="1:14" outlineLevel="1" x14ac:dyDescent="0.35">
      <c r="A175" s="50"/>
      <c r="B175" s="60" t="s">
        <v>17</v>
      </c>
      <c r="C175" s="52" t="str">
        <f>IFERROR(HLOOKUP($B175,FUT_12_Appr_Tot,Age15_29, FALSE)/(HLOOKUP("Total",FUT_12_Appr_Tot,Age15_29, FALSE)-HLOOKUP("Not applicable",FUT_12_Appr_Tot,Age15_29, FALSE)),":")</f>
        <v>:</v>
      </c>
      <c r="D175" s="53" t="str">
        <f>IFERROR(HLOOKUP($B175,FUT_12_Appr_Men,Age15_29, FALSE)/(HLOOKUP("Total",FUT_12_Appr_Men,Age15_29, FALSE)-HLOOKUP("Not applicable",FUT_12_Appr_Men,Age15_29, FALSE)),":")</f>
        <v>:</v>
      </c>
      <c r="E175" s="54" t="str">
        <f>IFERROR(HLOOKUP($B175,FUT_12_Appr_Women,Age15_29, FALSE)/(HLOOKUP("Total",FUT_12_Appr_Women,Age15_29, FALSE)-HLOOKUP("Not applicable",FUT_12_Appr_Women,Age15_29, FALSE)),":")</f>
        <v>:</v>
      </c>
      <c r="F175" s="52" t="str">
        <f>IFERROR(HLOOKUP($B175,FUT_12_Appr_Tot,Age15_19, FALSE)/(HLOOKUP("Total",FUT_12_Appr_Tot,Age15_19, FALSE)-HLOOKUP("Not applicable",FUT_12_Appr_Tot,Age15_19, FALSE)),":")</f>
        <v>:</v>
      </c>
      <c r="G175" s="53" t="str">
        <f>IFERROR(HLOOKUP($B175,FUT_12_Appr_Men,Age15_19, FALSE)/(HLOOKUP("Total",FUT_12_Appr_Men,Age15_19, FALSE)-HLOOKUP("Not applicable",FUT_12_Appr_Men,Age15_19, FALSE)),":")</f>
        <v>:</v>
      </c>
      <c r="H175" s="54" t="str">
        <f>IFERROR(HLOOKUP($B175,FUT_12_Appr_Women,Age15_19, FALSE)/(HLOOKUP("Total",FUT_12_Appr_Women,Age15_19, FALSE)-HLOOKUP("Not applicable",FUT_12_Appr_Women,Age15_19, FALSE)),":")</f>
        <v>:</v>
      </c>
      <c r="I175" s="52" t="str">
        <f>IFERROR(HLOOKUP($B175,FUT_12_Appr_Tot,Age20_24, FALSE)/(HLOOKUP("Total",FUT_12_Appr_Tot,Age20_24, FALSE)-HLOOKUP("Not applicable",FUT_12_Appr_Tot,Age20_24, FALSE)),":")</f>
        <v>:</v>
      </c>
      <c r="J175" s="53" t="str">
        <f>IFERROR(HLOOKUP($B175,FUT_12_Appr_Men,Age20_24, FALSE)/(HLOOKUP("Total",FUT_12_Appr_Men,Age20_24, FALSE)-HLOOKUP("Not applicable",FUT_12_Appr_Men,Age20_24, FALSE)),":")</f>
        <v>:</v>
      </c>
      <c r="K175" s="54" t="str">
        <f>IFERROR(HLOOKUP($B175,FUT_12_Appr_Women,Age20_24, FALSE)/(HLOOKUP("Total",FUT_12_Appr_Women,Age20_24, FALSE)-HLOOKUP("Not applicable",FUT_12_Appr_Women,Age20_24, FALSE)),":")</f>
        <v>:</v>
      </c>
      <c r="L175" s="52" t="str">
        <f>IFERROR(HLOOKUP($B175,FUT_12_Appr_Tot,Age25_29, FALSE)/(HLOOKUP("Total",FUT_12_Appr_Tot,Age25_29, FALSE)-HLOOKUP("Not applicable",FUT_12_Appr_Tot,Age25_29, FALSE)),":")</f>
        <v>:</v>
      </c>
      <c r="M175" s="53" t="str">
        <f>IFERROR(HLOOKUP($B175,FUT_12_Appr_Men,Age25_29, FALSE)/(HLOOKUP("Total",FUT_12_Appr_Men,Age25_29, FALSE)-HLOOKUP("Not applicable",FUT_12_Appr_Men,Age25_29, FALSE)),":")</f>
        <v>:</v>
      </c>
      <c r="N175" s="54" t="str">
        <f>IFERROR(HLOOKUP($B175,FUT_12_Appr_Women,Age25_29, FALSE)/(HLOOKUP("Total",FUT_12_Appr_Women,Age25_29, FALSE)-HLOOKUP("Not applicable",FUT_12_Appr_Women,Age25_29, FALSE)),":")</f>
        <v>:</v>
      </c>
    </row>
    <row r="176" spans="1:14" outlineLevel="1" x14ac:dyDescent="0.35">
      <c r="A176" s="50"/>
      <c r="B176" s="60" t="s">
        <v>18</v>
      </c>
      <c r="C176" s="52" t="str">
        <f>IFERROR(HLOOKUP($B176,FUT_12_Appr_Tot,Age15_29, FALSE)/(HLOOKUP("Total",FUT_12_Appr_Tot,Age15_29, FALSE)-HLOOKUP("Not applicable",FUT_12_Appr_Tot,Age15_29, FALSE)),":")</f>
        <v>:</v>
      </c>
      <c r="D176" s="53" t="str">
        <f>IFERROR(HLOOKUP($B176,FUT_12_Appr_Men,Age15_29, FALSE)/(HLOOKUP("Total",FUT_12_Appr_Men,Age15_29, FALSE)-HLOOKUP("Not applicable",FUT_12_Appr_Men,Age15_29, FALSE)),":")</f>
        <v>:</v>
      </c>
      <c r="E176" s="54" t="str">
        <f>IFERROR(HLOOKUP($B176,FUT_12_Appr_Women,Age15_29, FALSE)/(HLOOKUP("Total",FUT_12_Appr_Women,Age15_29, FALSE)-HLOOKUP("Not applicable",FUT_12_Appr_Women,Age15_29, FALSE)),":")</f>
        <v>:</v>
      </c>
      <c r="F176" s="52" t="str">
        <f>IFERROR(HLOOKUP($B176,FUT_12_Appr_Tot,Age15_19, FALSE)/(HLOOKUP("Total",FUT_12_Appr_Tot,Age15_19, FALSE)-HLOOKUP("Not applicable",FUT_12_Appr_Tot,Age15_19, FALSE)),":")</f>
        <v>:</v>
      </c>
      <c r="G176" s="53" t="str">
        <f>IFERROR(HLOOKUP($B176,FUT_12_Appr_Men,Age15_19, FALSE)/(HLOOKUP("Total",FUT_12_Appr_Men,Age15_19, FALSE)-HLOOKUP("Not applicable",FUT_12_Appr_Men,Age15_19, FALSE)),":")</f>
        <v>:</v>
      </c>
      <c r="H176" s="54" t="str">
        <f>IFERROR(HLOOKUP($B176,FUT_12_Appr_Women,Age15_19, FALSE)/(HLOOKUP("Total",FUT_12_Appr_Women,Age15_19, FALSE)-HLOOKUP("Not applicable",FUT_12_Appr_Women,Age15_19, FALSE)),":")</f>
        <v>:</v>
      </c>
      <c r="I176" s="52" t="str">
        <f>IFERROR(HLOOKUP($B176,FUT_12_Appr_Tot,Age20_24, FALSE)/(HLOOKUP("Total",FUT_12_Appr_Tot,Age20_24, FALSE)-HLOOKUP("Not applicable",FUT_12_Appr_Tot,Age20_24, FALSE)),":")</f>
        <v>:</v>
      </c>
      <c r="J176" s="53" t="str">
        <f>IFERROR(HLOOKUP($B176,FUT_12_Appr_Men,Age20_24, FALSE)/(HLOOKUP("Total",FUT_12_Appr_Men,Age20_24, FALSE)-HLOOKUP("Not applicable",FUT_12_Appr_Men,Age20_24, FALSE)),":")</f>
        <v>:</v>
      </c>
      <c r="K176" s="54" t="str">
        <f>IFERROR(HLOOKUP($B176,FUT_12_Appr_Women,Age20_24, FALSE)/(HLOOKUP("Total",FUT_12_Appr_Women,Age20_24, FALSE)-HLOOKUP("Not applicable",FUT_12_Appr_Women,Age20_24, FALSE)),":")</f>
        <v>:</v>
      </c>
      <c r="L176" s="52" t="str">
        <f>IFERROR(HLOOKUP($B176,FUT_12_Appr_Tot,Age25_29, FALSE)/(HLOOKUP("Total",FUT_12_Appr_Tot,Age25_29, FALSE)-HLOOKUP("Not applicable",FUT_12_Appr_Tot,Age25_29, FALSE)),":")</f>
        <v>:</v>
      </c>
      <c r="M176" s="53" t="str">
        <f>IFERROR(HLOOKUP($B176,FUT_12_Appr_Men,Age25_29, FALSE)/(HLOOKUP("Total",FUT_12_Appr_Men,Age25_29, FALSE)-HLOOKUP("Not applicable",FUT_12_Appr_Men,Age25_29, FALSE)),":")</f>
        <v>:</v>
      </c>
      <c r="N176" s="54" t="str">
        <f>IFERROR(HLOOKUP($B176,FUT_12_Appr_Women,Age25_29, FALSE)/(HLOOKUP("Total",FUT_12_Appr_Women,Age25_29, FALSE)-HLOOKUP("Not applicable",FUT_12_Appr_Women,Age25_29, FALSE)),":")</f>
        <v>:</v>
      </c>
    </row>
    <row r="177" spans="1:14" x14ac:dyDescent="0.35">
      <c r="A177" s="99" t="s">
        <v>194</v>
      </c>
      <c r="B177" s="104"/>
      <c r="C177" s="101" t="str">
        <f t="shared" ref="C177:E177" si="69">IF(COUNT(C178:C179)&gt;0,SUM(C178:C179),":")</f>
        <v>:</v>
      </c>
      <c r="D177" s="102" t="str">
        <f t="shared" si="69"/>
        <v>:</v>
      </c>
      <c r="E177" s="103" t="str">
        <f t="shared" si="69"/>
        <v>:</v>
      </c>
      <c r="F177" s="101" t="str">
        <f t="shared" ref="F177:K177" si="70">IF(COUNT(F178:F179)&gt;0,SUM(F178:F179),":")</f>
        <v>:</v>
      </c>
      <c r="G177" s="102" t="str">
        <f t="shared" si="70"/>
        <v>:</v>
      </c>
      <c r="H177" s="103" t="str">
        <f t="shared" si="70"/>
        <v>:</v>
      </c>
      <c r="I177" s="101" t="str">
        <f t="shared" si="70"/>
        <v>:</v>
      </c>
      <c r="J177" s="102" t="str">
        <f t="shared" si="70"/>
        <v>:</v>
      </c>
      <c r="K177" s="103" t="str">
        <f t="shared" si="70"/>
        <v>:</v>
      </c>
      <c r="L177" s="101" t="str">
        <f t="shared" ref="L177:N177" si="71">IF(COUNT(L178:L179)&gt;0,SUM(L178:L179),":")</f>
        <v>:</v>
      </c>
      <c r="M177" s="102" t="str">
        <f t="shared" si="71"/>
        <v>:</v>
      </c>
      <c r="N177" s="103" t="str">
        <f t="shared" si="71"/>
        <v>:</v>
      </c>
    </row>
    <row r="178" spans="1:14" outlineLevel="1" x14ac:dyDescent="0.35">
      <c r="A178" s="50"/>
      <c r="B178" s="60" t="s">
        <v>20</v>
      </c>
      <c r="C178" s="52" t="str">
        <f>IFERROR(HLOOKUP($B178,FUT_12_Appr_Tot,Age15_29, FALSE)/(HLOOKUP("Total",FUT_12_Appr_Tot,Age15_29, FALSE)-HLOOKUP("Not applicable",FUT_12_Appr_Tot,Age15_29, FALSE)),":")</f>
        <v>:</v>
      </c>
      <c r="D178" s="53" t="str">
        <f>IFERROR(HLOOKUP($B178,FUT_12_Appr_Men,Age15_29, FALSE)/(HLOOKUP("Total",FUT_12_Appr_Men,Age15_29, FALSE)-HLOOKUP("Not applicable",FUT_12_Appr_Men,Age15_29, FALSE)),":")</f>
        <v>:</v>
      </c>
      <c r="E178" s="54" t="str">
        <f>IFERROR(HLOOKUP($B178,FUT_12_Appr_Women,Age15_29, FALSE)/(HLOOKUP("Total",FUT_12_Appr_Women,Age15_29, FALSE)-HLOOKUP("Not applicable",FUT_12_Appr_Women,Age15_29, FALSE)),":")</f>
        <v>:</v>
      </c>
      <c r="F178" s="52" t="str">
        <f>IFERROR(HLOOKUP($B178,FUT_12_Appr_Tot,Age15_19, FALSE)/(HLOOKUP("Total",FUT_12_Appr_Tot,Age15_19, FALSE)-HLOOKUP("Not applicable",FUT_12_Appr_Tot,Age15_19, FALSE)),":")</f>
        <v>:</v>
      </c>
      <c r="G178" s="53" t="str">
        <f>IFERROR(HLOOKUP($B178,FUT_12_Appr_Men,Age15_19, FALSE)/(HLOOKUP("Total",FUT_12_Appr_Men,Age15_19, FALSE)-HLOOKUP("Not applicable",FUT_12_Appr_Men,Age15_19, FALSE)),":")</f>
        <v>:</v>
      </c>
      <c r="H178" s="54" t="str">
        <f>IFERROR(HLOOKUP($B178,FUT_12_Appr_Women,Age15_19, FALSE)/(HLOOKUP("Total",FUT_12_Appr_Women,Age15_19, FALSE)-HLOOKUP("Not applicable",FUT_12_Appr_Women,Age15_19, FALSE)),":")</f>
        <v>:</v>
      </c>
      <c r="I178" s="52" t="str">
        <f>IFERROR(HLOOKUP($B178,FUT_12_Appr_Tot,Age20_24, FALSE)/(HLOOKUP("Total",FUT_12_Appr_Tot,Age20_24, FALSE)-HLOOKUP("Not applicable",FUT_12_Appr_Tot,Age20_24, FALSE)),":")</f>
        <v>:</v>
      </c>
      <c r="J178" s="53" t="str">
        <f>IFERROR(HLOOKUP($B178,FUT_12_Appr_Men,Age20_24, FALSE)/(HLOOKUP("Total",FUT_12_Appr_Men,Age20_24, FALSE)-HLOOKUP("Not applicable",FUT_12_Appr_Men,Age20_24, FALSE)),":")</f>
        <v>:</v>
      </c>
      <c r="K178" s="54" t="str">
        <f>IFERROR(HLOOKUP($B178,FUT_12_Appr_Women,Age20_24, FALSE)/(HLOOKUP("Total",FUT_12_Appr_Women,Age20_24, FALSE)-HLOOKUP("Not applicable",FUT_12_Appr_Women,Age20_24, FALSE)),":")</f>
        <v>:</v>
      </c>
      <c r="L178" s="52" t="str">
        <f>IFERROR(HLOOKUP($B178,FUT_12_Appr_Tot,Age25_29, FALSE)/(HLOOKUP("Total",FUT_12_Appr_Tot,Age25_29, FALSE)-HLOOKUP("Not applicable",FUT_12_Appr_Tot,Age25_29, FALSE)),":")</f>
        <v>:</v>
      </c>
      <c r="M178" s="53" t="str">
        <f>IFERROR(HLOOKUP($B178,FUT_12_Appr_Men,Age25_29, FALSE)/(HLOOKUP("Total",FUT_12_Appr_Men,Age25_29, FALSE)-HLOOKUP("Not applicable",FUT_12_Appr_Men,Age25_29, FALSE)),":")</f>
        <v>:</v>
      </c>
      <c r="N178" s="54" t="str">
        <f>IFERROR(HLOOKUP($B178,FUT_12_Appr_Women,Age25_29, FALSE)/(HLOOKUP("Total",FUT_12_Appr_Women,Age25_29, FALSE)-HLOOKUP("Not applicable",FUT_12_Appr_Women,Age25_29, FALSE)),":")</f>
        <v>:</v>
      </c>
    </row>
    <row r="179" spans="1:14" outlineLevel="1" x14ac:dyDescent="0.35">
      <c r="A179" s="50"/>
      <c r="B179" s="60" t="s">
        <v>100</v>
      </c>
      <c r="C179" s="52" t="str">
        <f>IFERROR(HLOOKUP($B179,FUT_12_Appr_Tot,Age15_29, FALSE)/(HLOOKUP("Total",FUT_12_Appr_Tot,Age15_29, FALSE)-HLOOKUP("Not applicable",FUT_12_Appr_Tot,Age15_29, FALSE)),":")</f>
        <v>:</v>
      </c>
      <c r="D179" s="53" t="str">
        <f>IFERROR(HLOOKUP($B179,FUT_12_Appr_Men,Age15_29, FALSE)/(HLOOKUP("Total",FUT_12_Appr_Men,Age15_29, FALSE)-HLOOKUP("Not applicable",FUT_12_Appr_Men,Age15_29, FALSE)),":")</f>
        <v>:</v>
      </c>
      <c r="E179" s="54" t="str">
        <f>IFERROR(HLOOKUP($B179,FUT_12_Appr_Women,Age15_29, FALSE)/(HLOOKUP("Total",FUT_12_Appr_Women,Age15_29, FALSE)-HLOOKUP("Not applicable",FUT_12_Appr_Women,Age15_29, FALSE)),":")</f>
        <v>:</v>
      </c>
      <c r="F179" s="52" t="str">
        <f>IFERROR(HLOOKUP($B179,FUT_12_Appr_Tot,Age15_19, FALSE)/(HLOOKUP("Total",FUT_12_Appr_Tot,Age15_19, FALSE)-HLOOKUP("Not applicable",FUT_12_Appr_Tot,Age15_19, FALSE)),":")</f>
        <v>:</v>
      </c>
      <c r="G179" s="53" t="str">
        <f>IFERROR(HLOOKUP($B179,FUT_12_Appr_Men,Age15_19, FALSE)/(HLOOKUP("Total",FUT_12_Appr_Men,Age15_19, FALSE)-HLOOKUP("Not applicable",FUT_12_Appr_Men,Age15_19, FALSE)),":")</f>
        <v>:</v>
      </c>
      <c r="H179" s="54" t="str">
        <f>IFERROR(HLOOKUP($B179,FUT_12_Appr_Women,Age15_19, FALSE)/(HLOOKUP("Total",FUT_12_Appr_Women,Age15_19, FALSE)-HLOOKUP("Not applicable",FUT_12_Appr_Women,Age15_19, FALSE)),":")</f>
        <v>:</v>
      </c>
      <c r="I179" s="52" t="str">
        <f>IFERROR(HLOOKUP($B179,FUT_12_Appr_Tot,Age20_24, FALSE)/(HLOOKUP("Total",FUT_12_Appr_Tot,Age20_24, FALSE)-HLOOKUP("Not applicable",FUT_12_Appr_Tot,Age20_24, FALSE)),":")</f>
        <v>:</v>
      </c>
      <c r="J179" s="53" t="str">
        <f>IFERROR(HLOOKUP($B179,FUT_12_Appr_Men,Age20_24, FALSE)/(HLOOKUP("Total",FUT_12_Appr_Men,Age20_24, FALSE)-HLOOKUP("Not applicable",FUT_12_Appr_Men,Age20_24, FALSE)),":")</f>
        <v>:</v>
      </c>
      <c r="K179" s="54" t="str">
        <f>IFERROR(HLOOKUP($B179,FUT_12_Appr_Women,Age20_24, FALSE)/(HLOOKUP("Total",FUT_12_Appr_Women,Age20_24, FALSE)-HLOOKUP("Not applicable",FUT_12_Appr_Women,Age20_24, FALSE)),":")</f>
        <v>:</v>
      </c>
      <c r="L179" s="52" t="str">
        <f>IFERROR(HLOOKUP($B179,FUT_12_Appr_Tot,Age25_29, FALSE)/(HLOOKUP("Total",FUT_12_Appr_Tot,Age25_29, FALSE)-HLOOKUP("Not applicable",FUT_12_Appr_Tot,Age25_29, FALSE)),":")</f>
        <v>:</v>
      </c>
      <c r="M179" s="53" t="str">
        <f>IFERROR(HLOOKUP($B179,FUT_12_Appr_Men,Age25_29, FALSE)/(HLOOKUP("Total",FUT_12_Appr_Men,Age25_29, FALSE)-HLOOKUP("Not applicable",FUT_12_Appr_Men,Age25_29, FALSE)),":")</f>
        <v>:</v>
      </c>
      <c r="N179" s="54" t="str">
        <f>IFERROR(HLOOKUP($B179,FUT_12_Appr_Women,Age25_29, FALSE)/(HLOOKUP("Total",FUT_12_Appr_Women,Age25_29, FALSE)-HLOOKUP("Not applicable",FUT_12_Appr_Women,Age25_29, FALSE)),":")</f>
        <v>:</v>
      </c>
    </row>
    <row r="180" spans="1:14" ht="15" thickBot="1" x14ac:dyDescent="0.4">
      <c r="A180" s="105" t="s">
        <v>21</v>
      </c>
      <c r="B180" s="106"/>
      <c r="C180" s="107" t="str">
        <f>IFERROR(HLOOKUP($A180,FUT_12_Appr_Tot,Age15_29, FALSE)/(HLOOKUP("Total",FUT_12_Appr_Tot,Age15_29, FALSE)-HLOOKUP("Not applicable",FUT_12_Appr_Tot,Age15_29, FALSE)),":")</f>
        <v>:</v>
      </c>
      <c r="D180" s="108" t="str">
        <f>IFERROR(HLOOKUP($A180,FUT_12_Appr_Men,Age15_29, FALSE)/(HLOOKUP("Total",FUT_12_Appr_Men,Age15_29, FALSE)-HLOOKUP("Not applicable",FUT_12_Appr_Men,Age15_29, FALSE)),":")</f>
        <v>:</v>
      </c>
      <c r="E180" s="109" t="str">
        <f>IFERROR(HLOOKUP($A180,FUT_12_Appr_Women,Age15_29, FALSE)/(HLOOKUP("Total",FUT_12_Appr_Women,Age15_29, FALSE)-HLOOKUP("Not applicable",FUT_12_Appr_Women,Age15_29, FALSE)),":")</f>
        <v>:</v>
      </c>
      <c r="F180" s="107" t="str">
        <f>IFERROR(HLOOKUP($A180,FUT_12_Appr_Tot,Age15_19, FALSE)/(HLOOKUP("Total",FUT_12_Appr_Tot,Age15_19, FALSE)-HLOOKUP("Not applicable",FUT_12_Appr_Tot,Age15_19, FALSE)),":")</f>
        <v>:</v>
      </c>
      <c r="G180" s="108" t="str">
        <f>IFERROR(HLOOKUP($A180,FUT_12_Appr_Men,Age15_19, FALSE)/(HLOOKUP("Total",FUT_12_Appr_Men,Age15_19, FALSE)-HLOOKUP("Not applicable",FUT_12_Appr_Men,Age15_19, FALSE)),":")</f>
        <v>:</v>
      </c>
      <c r="H180" s="109" t="str">
        <f>IFERROR(HLOOKUP($A180,FUT_12_Appr_Women,Age15_19, FALSE)/(HLOOKUP("Total",FUT_12_Appr_Women,Age15_19, FALSE)-HLOOKUP("Not applicable",FUT_12_Appr_Women,Age15_19, FALSE)),":")</f>
        <v>:</v>
      </c>
      <c r="I180" s="107" t="str">
        <f>IFERROR(HLOOKUP($A180,FUT_12_Appr_Tot,Age20_24, FALSE)/(HLOOKUP("Total",FUT_12_Appr_Tot,Age20_24, FALSE)-HLOOKUP("Not applicable",FUT_12_Appr_Tot,Age20_24, FALSE)),":")</f>
        <v>:</v>
      </c>
      <c r="J180" s="108" t="str">
        <f>IFERROR(HLOOKUP($A180,FUT_12_Appr_Men,Age20_24, FALSE)/(HLOOKUP("Total",FUT_12_Appr_Men,Age20_24, FALSE)-HLOOKUP("Not applicable",FUT_12_Appr_Men,Age20_24, FALSE)),":")</f>
        <v>:</v>
      </c>
      <c r="K180" s="109" t="str">
        <f>IFERROR(HLOOKUP($A180,FUT_12_Appr_Women,Age20_24, FALSE)/(HLOOKUP("Total",FUT_12_Appr_Women,Age20_24, FALSE)-HLOOKUP("Not applicable",FUT_12_Appr_Women,Age20_24, FALSE)),":")</f>
        <v>:</v>
      </c>
      <c r="L180" s="107" t="str">
        <f>IFERROR(HLOOKUP($A180,FUT_12_Appr_Tot,Age25_29, FALSE)/(HLOOKUP("Total",FUT_12_Appr_Tot,Age25_29, FALSE)-HLOOKUP("Not applicable",FUT_12_Appr_Tot,Age25_29, FALSE)),":")</f>
        <v>:</v>
      </c>
      <c r="M180" s="108" t="str">
        <f>IFERROR(HLOOKUP($A180,FUT_12_Appr_Men,Age25_29, FALSE)/(HLOOKUP("Total",FUT_12_Appr_Men,Age25_29, FALSE)-HLOOKUP("Not applicable",FUT_12_Appr_Men,Age25_29, FALSE)),":")</f>
        <v>:</v>
      </c>
      <c r="N180" s="109" t="str">
        <f>IFERROR(HLOOKUP($A180,FUT_12_Appr_Women,Age25_29, FALSE)/(HLOOKUP("Total",FUT_12_Appr_Women,Age25_29, FALSE)-HLOOKUP("Not applicable",FUT_12_Appr_Women,Age25_29, FALSE)),":")</f>
        <v>:</v>
      </c>
    </row>
    <row r="181" spans="1:14" ht="15.5" thickTop="1" thickBot="1" x14ac:dyDescent="0.4"/>
    <row r="182" spans="1:14" ht="15.75" customHeight="1" thickTop="1" x14ac:dyDescent="0.35">
      <c r="A182" s="361" t="s">
        <v>197</v>
      </c>
      <c r="B182" s="369"/>
      <c r="C182" s="365" t="s">
        <v>240</v>
      </c>
      <c r="D182" s="366"/>
      <c r="E182" s="367"/>
      <c r="F182" s="365" t="s">
        <v>11</v>
      </c>
      <c r="G182" s="366"/>
      <c r="H182" s="367"/>
      <c r="I182" s="368" t="s">
        <v>13</v>
      </c>
      <c r="J182" s="366"/>
      <c r="K182" s="367"/>
      <c r="L182" s="365" t="s">
        <v>239</v>
      </c>
      <c r="M182" s="366"/>
      <c r="N182" s="373"/>
    </row>
    <row r="183" spans="1:14" x14ac:dyDescent="0.35">
      <c r="A183" s="363"/>
      <c r="B183" s="370"/>
      <c r="C183" s="49" t="s">
        <v>3</v>
      </c>
      <c r="D183" s="47" t="s">
        <v>4</v>
      </c>
      <c r="E183" s="48" t="s">
        <v>5</v>
      </c>
      <c r="F183" s="49" t="s">
        <v>3</v>
      </c>
      <c r="G183" s="47" t="s">
        <v>4</v>
      </c>
      <c r="H183" s="48" t="s">
        <v>5</v>
      </c>
      <c r="I183" s="46" t="s">
        <v>3</v>
      </c>
      <c r="J183" s="47" t="s">
        <v>4</v>
      </c>
      <c r="K183" s="48" t="s">
        <v>5</v>
      </c>
      <c r="L183" s="49" t="s">
        <v>3</v>
      </c>
      <c r="M183" s="47" t="s">
        <v>4</v>
      </c>
      <c r="N183" s="204" t="s">
        <v>5</v>
      </c>
    </row>
    <row r="184" spans="1:14" x14ac:dyDescent="0.35">
      <c r="A184" s="99" t="s">
        <v>193</v>
      </c>
      <c r="B184" s="100"/>
      <c r="C184" s="101" t="str">
        <f t="shared" ref="C184:E184" si="72">IF(COUNT(C185:C188)&gt;0,SUM(C185:C188),":")</f>
        <v>:</v>
      </c>
      <c r="D184" s="102" t="str">
        <f t="shared" si="72"/>
        <v>:</v>
      </c>
      <c r="E184" s="103" t="str">
        <f t="shared" si="72"/>
        <v>:</v>
      </c>
      <c r="F184" s="101" t="str">
        <f t="shared" ref="F184:K184" si="73">IF(COUNT(F185:F188)&gt;0,SUM(F185:F188),":")</f>
        <v>:</v>
      </c>
      <c r="G184" s="102" t="str">
        <f t="shared" si="73"/>
        <v>:</v>
      </c>
      <c r="H184" s="103" t="str">
        <f t="shared" si="73"/>
        <v>:</v>
      </c>
      <c r="I184" s="101" t="str">
        <f t="shared" si="73"/>
        <v>:</v>
      </c>
      <c r="J184" s="102" t="str">
        <f t="shared" si="73"/>
        <v>:</v>
      </c>
      <c r="K184" s="103" t="str">
        <f t="shared" si="73"/>
        <v>:</v>
      </c>
      <c r="L184" s="101" t="str">
        <f t="shared" ref="L184:N184" si="74">IF(COUNT(L185:L188)&gt;0,SUM(L185:L188),":")</f>
        <v>:</v>
      </c>
      <c r="M184" s="102" t="str">
        <f t="shared" si="74"/>
        <v>:</v>
      </c>
      <c r="N184" s="103" t="str">
        <f t="shared" si="74"/>
        <v>:</v>
      </c>
    </row>
    <row r="185" spans="1:14" outlineLevel="1" x14ac:dyDescent="0.35">
      <c r="A185" s="50"/>
      <c r="B185" s="60" t="s">
        <v>15</v>
      </c>
      <c r="C185" s="52" t="str">
        <f>IFERROR(HLOOKUP($B185,FUT_18_Appr_Tot,Age15_29, FALSE)/(HLOOKUP("Total",FUT_18_Appr_Tot,Age15_29, FALSE)-HLOOKUP("Not applicable",FUT_18_Appr_Tot,Age15_29, FALSE)),":")</f>
        <v>:</v>
      </c>
      <c r="D185" s="53" t="str">
        <f>IFERROR(HLOOKUP($B185,FUT_18_Appr_Men,Age15_29, FALSE)/(HLOOKUP("Total",FUT_18_Appr_Men,Age15_29, FALSE)-HLOOKUP("Not applicable",FUT_18_Appr_Men,Age15_29, FALSE)),":")</f>
        <v>:</v>
      </c>
      <c r="E185" s="54" t="str">
        <f>IFERROR(HLOOKUP($B185,FUT_18_Appr_Women,Age15_29, FALSE)/(HLOOKUP("Total",FUT_18_Appr_Women,Age15_29, FALSE)-HLOOKUP("Not applicable",FUT_18_Appr_Women,Age15_29, FALSE)),":")</f>
        <v>:</v>
      </c>
      <c r="F185" s="52" t="str">
        <f>IFERROR(HLOOKUP($B185,FUT_18_Appr_Tot,Age15_19, FALSE)/(HLOOKUP("Total",FUT_18_Appr_Tot,Age15_19, FALSE)-HLOOKUP("Not applicable",FUT_18_Appr_Tot,Age15_19, FALSE)),":")</f>
        <v>:</v>
      </c>
      <c r="G185" s="53" t="str">
        <f>IFERROR(HLOOKUP($B185,FUT_18_Appr_Men,Age15_19, FALSE)/(HLOOKUP("Total",FUT_18_Appr_Men,Age15_19, FALSE)-HLOOKUP("Not applicable",FUT_18_Appr_Men,Age15_19, FALSE)),":")</f>
        <v>:</v>
      </c>
      <c r="H185" s="54" t="str">
        <f>IFERROR(HLOOKUP($B185,FUT_18_Appr_Women,Age15_19, FALSE)/(HLOOKUP("Total",FUT_18_Appr_Women,Age15_19, FALSE)-HLOOKUP("Not applicable",FUT_18_Appr_Women,Age15_19, FALSE)),":")</f>
        <v>:</v>
      </c>
      <c r="I185" s="52" t="str">
        <f>IFERROR(HLOOKUP($B185,FUT_18_Appr_Tot,Age20_24, FALSE)/(HLOOKUP("Total",FUT_18_Appr_Tot,Age20_24, FALSE)-HLOOKUP("Not applicable",FUT_18_Appr_Tot,Age20_24, FALSE)),":")</f>
        <v>:</v>
      </c>
      <c r="J185" s="53" t="str">
        <f>IFERROR(HLOOKUP($B185,FUT_18_Appr_Men,Age20_24, FALSE)/(HLOOKUP("Total",FUT_18_Appr_Men,Age20_24, FALSE)-HLOOKUP("Not applicable",FUT_18_Appr_Men,Age20_24, FALSE)),":")</f>
        <v>:</v>
      </c>
      <c r="K185" s="54" t="str">
        <f>IFERROR(HLOOKUP($B185,FUT_18_Appr_Women,Age20_24, FALSE)/(HLOOKUP("Total",FUT_18_Appr_Women,Age20_24, FALSE)-HLOOKUP("Not applicable",FUT_18_Appr_Women,Age20_24, FALSE)),":")</f>
        <v>:</v>
      </c>
      <c r="L185" s="52" t="str">
        <f>IFERROR(HLOOKUP($B185,FUT_18_Appr_Tot,Age25_29, FALSE)/(HLOOKUP("Total",FUT_18_Appr_Tot,Age25_29, FALSE)-HLOOKUP("Not applicable",FUT_18_Appr_Tot,Age25_29, FALSE)),":")</f>
        <v>:</v>
      </c>
      <c r="M185" s="53" t="str">
        <f>IFERROR(HLOOKUP($B185,FUT_18_Appr_Men,Age25_29, FALSE)/(HLOOKUP("Total",FUT_18_Appr_Men,Age25_29, FALSE)-HLOOKUP("Not applicable",FUT_18_Appr_Men,Age25_29, FALSE)),":")</f>
        <v>:</v>
      </c>
      <c r="N185" s="54" t="str">
        <f>IFERROR(HLOOKUP($B185,FUT_18_Appr_Women,Age25_29, FALSE)/(HLOOKUP("Total",FUT_18_Appr_Women,Age25_29, FALSE)-HLOOKUP("Not applicable",FUT_18_Appr_Women,Age25_29, FALSE)),":")</f>
        <v>:</v>
      </c>
    </row>
    <row r="186" spans="1:14" outlineLevel="1" x14ac:dyDescent="0.35">
      <c r="A186" s="50"/>
      <c r="B186" s="60" t="s">
        <v>16</v>
      </c>
      <c r="C186" s="52" t="str">
        <f>IFERROR(HLOOKUP($B186,FUT_18_Appr_Tot,Age15_29, FALSE)/(HLOOKUP("Total",FUT_18_Appr_Tot,Age15_29, FALSE)-HLOOKUP("Not applicable",FUT_18_Appr_Tot,Age15_29, FALSE)),":")</f>
        <v>:</v>
      </c>
      <c r="D186" s="53" t="str">
        <f>IFERROR(HLOOKUP($B186,FUT_18_Appr_Men,Age15_29, FALSE)/(HLOOKUP("Total",FUT_18_Appr_Men,Age15_29, FALSE)-HLOOKUP("Not applicable",FUT_18_Appr_Men,Age15_29, FALSE)),":")</f>
        <v>:</v>
      </c>
      <c r="E186" s="54" t="str">
        <f>IFERROR(HLOOKUP($B186,FUT_18_Appr_Women,Age15_29, FALSE)/(HLOOKUP("Total",FUT_18_Appr_Women,Age15_29, FALSE)-HLOOKUP("Not applicable",FUT_18_Appr_Women,Age15_29, FALSE)),":")</f>
        <v>:</v>
      </c>
      <c r="F186" s="52" t="str">
        <f>IFERROR(HLOOKUP($B186,FUT_18_Appr_Tot,Age15_19, FALSE)/(HLOOKUP("Total",FUT_18_Appr_Tot,Age15_19, FALSE)-HLOOKUP("Not applicable",FUT_18_Appr_Tot,Age15_19, FALSE)),":")</f>
        <v>:</v>
      </c>
      <c r="G186" s="53" t="str">
        <f>IFERROR(HLOOKUP($B186,FUT_18_Appr_Men,Age15_19, FALSE)/(HLOOKUP("Total",FUT_18_Appr_Men,Age15_19, FALSE)-HLOOKUP("Not applicable",FUT_18_Appr_Men,Age15_19, FALSE)),":")</f>
        <v>:</v>
      </c>
      <c r="H186" s="54" t="str">
        <f>IFERROR(HLOOKUP($B186,FUT_18_Appr_Women,Age15_19, FALSE)/(HLOOKUP("Total",FUT_18_Appr_Women,Age15_19, FALSE)-HLOOKUP("Not applicable",FUT_18_Appr_Women,Age15_19, FALSE)),":")</f>
        <v>:</v>
      </c>
      <c r="I186" s="52" t="str">
        <f>IFERROR(HLOOKUP($B186,FUT_18_Appr_Tot,Age20_24, FALSE)/(HLOOKUP("Total",FUT_18_Appr_Tot,Age20_24, FALSE)-HLOOKUP("Not applicable",FUT_18_Appr_Tot,Age20_24, FALSE)),":")</f>
        <v>:</v>
      </c>
      <c r="J186" s="53" t="str">
        <f>IFERROR(HLOOKUP($B186,FUT_18_Appr_Men,Age20_24, FALSE)/(HLOOKUP("Total",FUT_18_Appr_Men,Age20_24, FALSE)-HLOOKUP("Not applicable",FUT_18_Appr_Men,Age20_24, FALSE)),":")</f>
        <v>:</v>
      </c>
      <c r="K186" s="54" t="str">
        <f>IFERROR(HLOOKUP($B186,FUT_18_Appr_Women,Age20_24, FALSE)/(HLOOKUP("Total",FUT_18_Appr_Women,Age20_24, FALSE)-HLOOKUP("Not applicable",FUT_18_Appr_Women,Age20_24, FALSE)),":")</f>
        <v>:</v>
      </c>
      <c r="L186" s="52" t="str">
        <f>IFERROR(HLOOKUP($B186,FUT_18_Appr_Tot,Age25_29, FALSE)/(HLOOKUP("Total",FUT_18_Appr_Tot,Age25_29, FALSE)-HLOOKUP("Not applicable",FUT_18_Appr_Tot,Age25_29, FALSE)),":")</f>
        <v>:</v>
      </c>
      <c r="M186" s="53" t="str">
        <f>IFERROR(HLOOKUP($B186,FUT_18_Appr_Men,Age25_29, FALSE)/(HLOOKUP("Total",FUT_18_Appr_Men,Age25_29, FALSE)-HLOOKUP("Not applicable",FUT_18_Appr_Men,Age25_29, FALSE)),":")</f>
        <v>:</v>
      </c>
      <c r="N186" s="54" t="str">
        <f>IFERROR(HLOOKUP($B186,FUT_18_Appr_Women,Age25_29, FALSE)/(HLOOKUP("Total",FUT_18_Appr_Women,Age25_29, FALSE)-HLOOKUP("Not applicable",FUT_18_Appr_Women,Age25_29, FALSE)),":")</f>
        <v>:</v>
      </c>
    </row>
    <row r="187" spans="1:14" outlineLevel="1" x14ac:dyDescent="0.35">
      <c r="A187" s="50"/>
      <c r="B187" s="60" t="s">
        <v>17</v>
      </c>
      <c r="C187" s="52" t="str">
        <f>IFERROR(HLOOKUP($B187,FUT_18_Appr_Tot,Age15_29, FALSE)/(HLOOKUP("Total",FUT_18_Appr_Tot,Age15_29, FALSE)-HLOOKUP("Not applicable",FUT_18_Appr_Tot,Age15_29, FALSE)),":")</f>
        <v>:</v>
      </c>
      <c r="D187" s="53" t="str">
        <f>IFERROR(HLOOKUP($B187,FUT_18_Appr_Men,Age15_29, FALSE)/(HLOOKUP("Total",FUT_18_Appr_Men,Age15_29, FALSE)-HLOOKUP("Not applicable",FUT_18_Appr_Men,Age15_29, FALSE)),":")</f>
        <v>:</v>
      </c>
      <c r="E187" s="54" t="str">
        <f>IFERROR(HLOOKUP($B187,FUT_18_Appr_Women,Age15_29, FALSE)/(HLOOKUP("Total",FUT_18_Appr_Women,Age15_29, FALSE)-HLOOKUP("Not applicable",FUT_18_Appr_Women,Age15_29, FALSE)),":")</f>
        <v>:</v>
      </c>
      <c r="F187" s="52" t="str">
        <f>IFERROR(HLOOKUP($B187,FUT_18_Appr_Tot,Age15_19, FALSE)/(HLOOKUP("Total",FUT_18_Appr_Tot,Age15_19, FALSE)-HLOOKUP("Not applicable",FUT_18_Appr_Tot,Age15_19, FALSE)),":")</f>
        <v>:</v>
      </c>
      <c r="G187" s="53" t="str">
        <f>IFERROR(HLOOKUP($B187,FUT_18_Appr_Men,Age15_19, FALSE)/(HLOOKUP("Total",FUT_18_Appr_Men,Age15_19, FALSE)-HLOOKUP("Not applicable",FUT_18_Appr_Men,Age15_19, FALSE)),":")</f>
        <v>:</v>
      </c>
      <c r="H187" s="54" t="str">
        <f>IFERROR(HLOOKUP($B187,FUT_18_Appr_Women,Age15_19, FALSE)/(HLOOKUP("Total",FUT_18_Appr_Women,Age15_19, FALSE)-HLOOKUP("Not applicable",FUT_18_Appr_Women,Age15_19, FALSE)),":")</f>
        <v>:</v>
      </c>
      <c r="I187" s="52" t="str">
        <f>IFERROR(HLOOKUP($B187,FUT_18_Appr_Tot,Age20_24, FALSE)/(HLOOKUP("Total",FUT_18_Appr_Tot,Age20_24, FALSE)-HLOOKUP("Not applicable",FUT_18_Appr_Tot,Age20_24, FALSE)),":")</f>
        <v>:</v>
      </c>
      <c r="J187" s="53" t="str">
        <f>IFERROR(HLOOKUP($B187,FUT_18_Appr_Men,Age20_24, FALSE)/(HLOOKUP("Total",FUT_18_Appr_Men,Age20_24, FALSE)-HLOOKUP("Not applicable",FUT_18_Appr_Men,Age20_24, FALSE)),":")</f>
        <v>:</v>
      </c>
      <c r="K187" s="54" t="str">
        <f>IFERROR(HLOOKUP($B187,FUT_18_Appr_Women,Age20_24, FALSE)/(HLOOKUP("Total",FUT_18_Appr_Women,Age20_24, FALSE)-HLOOKUP("Not applicable",FUT_18_Appr_Women,Age20_24, FALSE)),":")</f>
        <v>:</v>
      </c>
      <c r="L187" s="52" t="str">
        <f>IFERROR(HLOOKUP($B187,FUT_18_Appr_Tot,Age25_29, FALSE)/(HLOOKUP("Total",FUT_18_Appr_Tot,Age25_29, FALSE)-HLOOKUP("Not applicable",FUT_18_Appr_Tot,Age25_29, FALSE)),":")</f>
        <v>:</v>
      </c>
      <c r="M187" s="53" t="str">
        <f>IFERROR(HLOOKUP($B187,FUT_18_Appr_Men,Age25_29, FALSE)/(HLOOKUP("Total",FUT_18_Appr_Men,Age25_29, FALSE)-HLOOKUP("Not applicable",FUT_18_Appr_Men,Age25_29, FALSE)),":")</f>
        <v>:</v>
      </c>
      <c r="N187" s="54" t="str">
        <f>IFERROR(HLOOKUP($B187,FUT_18_Appr_Women,Age25_29, FALSE)/(HLOOKUP("Total",FUT_18_Appr_Women,Age25_29, FALSE)-HLOOKUP("Not applicable",FUT_18_Appr_Women,Age25_29, FALSE)),":")</f>
        <v>:</v>
      </c>
    </row>
    <row r="188" spans="1:14" outlineLevel="1" x14ac:dyDescent="0.35">
      <c r="A188" s="50"/>
      <c r="B188" s="60" t="s">
        <v>18</v>
      </c>
      <c r="C188" s="52" t="str">
        <f>IFERROR(HLOOKUP($B188,FUT_18_Appr_Tot,Age15_29, FALSE)/(HLOOKUP("Total",FUT_18_Appr_Tot,Age15_29, FALSE)-HLOOKUP("Not applicable",FUT_18_Appr_Tot,Age15_29, FALSE)),":")</f>
        <v>:</v>
      </c>
      <c r="D188" s="53" t="str">
        <f>IFERROR(HLOOKUP($B188,FUT_18_Appr_Men,Age15_29, FALSE)/(HLOOKUP("Total",FUT_18_Appr_Men,Age15_29, FALSE)-HLOOKUP("Not applicable",FUT_18_Appr_Men,Age15_29, FALSE)),":")</f>
        <v>:</v>
      </c>
      <c r="E188" s="54" t="str">
        <f>IFERROR(HLOOKUP($B188,FUT_18_Appr_Women,Age15_29, FALSE)/(HLOOKUP("Total",FUT_18_Appr_Women,Age15_29, FALSE)-HLOOKUP("Not applicable",FUT_18_Appr_Women,Age15_29, FALSE)),":")</f>
        <v>:</v>
      </c>
      <c r="F188" s="52" t="str">
        <f>IFERROR(HLOOKUP($B188,FUT_18_Appr_Tot,Age15_19, FALSE)/(HLOOKUP("Total",FUT_18_Appr_Tot,Age15_19, FALSE)-HLOOKUP("Not applicable",FUT_18_Appr_Tot,Age15_19, FALSE)),":")</f>
        <v>:</v>
      </c>
      <c r="G188" s="53" t="str">
        <f>IFERROR(HLOOKUP($B188,FUT_18_Appr_Men,Age15_19, FALSE)/(HLOOKUP("Total",FUT_18_Appr_Men,Age15_19, FALSE)-HLOOKUP("Not applicable",FUT_18_Appr_Men,Age15_19, FALSE)),":")</f>
        <v>:</v>
      </c>
      <c r="H188" s="54" t="str">
        <f>IFERROR(HLOOKUP($B188,FUT_18_Appr_Women,Age15_19, FALSE)/(HLOOKUP("Total",FUT_18_Appr_Women,Age15_19, FALSE)-HLOOKUP("Not applicable",FUT_18_Appr_Women,Age15_19, FALSE)),":")</f>
        <v>:</v>
      </c>
      <c r="I188" s="52" t="str">
        <f>IFERROR(HLOOKUP($B188,FUT_18_Appr_Tot,Age20_24, FALSE)/(HLOOKUP("Total",FUT_18_Appr_Tot,Age20_24, FALSE)-HLOOKUP("Not applicable",FUT_18_Appr_Tot,Age20_24, FALSE)),":")</f>
        <v>:</v>
      </c>
      <c r="J188" s="53" t="str">
        <f>IFERROR(HLOOKUP($B188,FUT_18_Appr_Men,Age20_24, FALSE)/(HLOOKUP("Total",FUT_18_Appr_Men,Age20_24, FALSE)-HLOOKUP("Not applicable",FUT_18_Appr_Men,Age20_24, FALSE)),":")</f>
        <v>:</v>
      </c>
      <c r="K188" s="54" t="str">
        <f>IFERROR(HLOOKUP($B188,FUT_18_Appr_Women,Age20_24, FALSE)/(HLOOKUP("Total",FUT_18_Appr_Women,Age20_24, FALSE)-HLOOKUP("Not applicable",FUT_18_Appr_Women,Age20_24, FALSE)),":")</f>
        <v>:</v>
      </c>
      <c r="L188" s="52" t="str">
        <f>IFERROR(HLOOKUP($B188,FUT_18_Appr_Tot,Age25_29, FALSE)/(HLOOKUP("Total",FUT_18_Appr_Tot,Age25_29, FALSE)-HLOOKUP("Not applicable",FUT_18_Appr_Tot,Age25_29, FALSE)),":")</f>
        <v>:</v>
      </c>
      <c r="M188" s="53" t="str">
        <f>IFERROR(HLOOKUP($B188,FUT_18_Appr_Men,Age25_29, FALSE)/(HLOOKUP("Total",FUT_18_Appr_Men,Age25_29, FALSE)-HLOOKUP("Not applicable",FUT_18_Appr_Men,Age25_29, FALSE)),":")</f>
        <v>:</v>
      </c>
      <c r="N188" s="54" t="str">
        <f>IFERROR(HLOOKUP($B188,FUT_18_Appr_Women,Age25_29, FALSE)/(HLOOKUP("Total",FUT_18_Appr_Women,Age25_29, FALSE)-HLOOKUP("Not applicable",FUT_18_Appr_Women,Age25_29, FALSE)),":")</f>
        <v>:</v>
      </c>
    </row>
    <row r="189" spans="1:14" x14ac:dyDescent="0.35">
      <c r="A189" s="99" t="s">
        <v>194</v>
      </c>
      <c r="B189" s="104"/>
      <c r="C189" s="101" t="str">
        <f t="shared" ref="C189:E189" si="75">IF(COUNT(C190:C191)&gt;0,SUM(C190:C191),":")</f>
        <v>:</v>
      </c>
      <c r="D189" s="102" t="str">
        <f t="shared" si="75"/>
        <v>:</v>
      </c>
      <c r="E189" s="103" t="str">
        <f t="shared" si="75"/>
        <v>:</v>
      </c>
      <c r="F189" s="101" t="str">
        <f t="shared" ref="F189:K189" si="76">IF(COUNT(F190:F191)&gt;0,SUM(F190:F191),":")</f>
        <v>:</v>
      </c>
      <c r="G189" s="102" t="str">
        <f t="shared" si="76"/>
        <v>:</v>
      </c>
      <c r="H189" s="103" t="str">
        <f t="shared" si="76"/>
        <v>:</v>
      </c>
      <c r="I189" s="101" t="str">
        <f t="shared" si="76"/>
        <v>:</v>
      </c>
      <c r="J189" s="102" t="str">
        <f t="shared" si="76"/>
        <v>:</v>
      </c>
      <c r="K189" s="103" t="str">
        <f t="shared" si="76"/>
        <v>:</v>
      </c>
      <c r="L189" s="101" t="str">
        <f t="shared" ref="L189:N189" si="77">IF(COUNT(L190:L191)&gt;0,SUM(L190:L191),":")</f>
        <v>:</v>
      </c>
      <c r="M189" s="102" t="str">
        <f t="shared" si="77"/>
        <v>:</v>
      </c>
      <c r="N189" s="103" t="str">
        <f t="shared" si="77"/>
        <v>:</v>
      </c>
    </row>
    <row r="190" spans="1:14" outlineLevel="1" x14ac:dyDescent="0.35">
      <c r="A190" s="50"/>
      <c r="B190" s="60" t="s">
        <v>20</v>
      </c>
      <c r="C190" s="52" t="str">
        <f>IFERROR(HLOOKUP($B190,FUT_18_Appr_Tot,Age15_29, FALSE)/(HLOOKUP("Total",FUT_18_Appr_Tot,Age15_29, FALSE)-HLOOKUP("Not applicable",FUT_18_Appr_Tot,Age15_29, FALSE)),":")</f>
        <v>:</v>
      </c>
      <c r="D190" s="53" t="str">
        <f>IFERROR(HLOOKUP($B190,FUT_18_Appr_Men,Age15_29, FALSE)/(HLOOKUP("Total",FUT_18_Appr_Men,Age15_29, FALSE)-HLOOKUP("Not applicable",FUT_18_Appr_Men,Age15_29, FALSE)),":")</f>
        <v>:</v>
      </c>
      <c r="E190" s="54" t="str">
        <f>IFERROR(HLOOKUP($B190,FUT_18_Appr_Women,Age15_29, FALSE)/(HLOOKUP("Total",FUT_18_Appr_Women,Age15_29, FALSE)-HLOOKUP("Not applicable",FUT_18_Appr_Women,Age15_29, FALSE)),":")</f>
        <v>:</v>
      </c>
      <c r="F190" s="52" t="str">
        <f>IFERROR(HLOOKUP($B190,FUT_18_Appr_Tot,Age15_19, FALSE)/(HLOOKUP("Total",FUT_18_Appr_Tot,Age15_19, FALSE)-HLOOKUP("Not applicable",FUT_18_Appr_Tot,Age15_19, FALSE)),":")</f>
        <v>:</v>
      </c>
      <c r="G190" s="53" t="str">
        <f>IFERROR(HLOOKUP($B190,FUT_18_Appr_Men,Age15_19, FALSE)/(HLOOKUP("Total",FUT_18_Appr_Men,Age15_19, FALSE)-HLOOKUP("Not applicable",FUT_18_Appr_Men,Age15_19, FALSE)),":")</f>
        <v>:</v>
      </c>
      <c r="H190" s="54" t="str">
        <f>IFERROR(HLOOKUP($B190,FUT_18_Appr_Women,Age15_19, FALSE)/(HLOOKUP("Total",FUT_18_Appr_Women,Age15_19, FALSE)-HLOOKUP("Not applicable",FUT_18_Appr_Women,Age15_19, FALSE)),":")</f>
        <v>:</v>
      </c>
      <c r="I190" s="52" t="str">
        <f>IFERROR(HLOOKUP($B190,FUT_18_Appr_Tot,Age20_24, FALSE)/(HLOOKUP("Total",FUT_18_Appr_Tot,Age20_24, FALSE)-HLOOKUP("Not applicable",FUT_18_Appr_Tot,Age20_24, FALSE)),":")</f>
        <v>:</v>
      </c>
      <c r="J190" s="53" t="str">
        <f>IFERROR(HLOOKUP($B190,FUT_18_Appr_Men,Age20_24, FALSE)/(HLOOKUP("Total",FUT_18_Appr_Men,Age20_24, FALSE)-HLOOKUP("Not applicable",FUT_18_Appr_Men,Age20_24, FALSE)),":")</f>
        <v>:</v>
      </c>
      <c r="K190" s="54" t="str">
        <f>IFERROR(HLOOKUP($B190,FUT_18_Appr_Women,Age20_24, FALSE)/(HLOOKUP("Total",FUT_18_Appr_Women,Age20_24, FALSE)-HLOOKUP("Not applicable",FUT_18_Appr_Women,Age20_24, FALSE)),":")</f>
        <v>:</v>
      </c>
      <c r="L190" s="52" t="str">
        <f>IFERROR(HLOOKUP($B190,FUT_18_Appr_Tot,Age25_29, FALSE)/(HLOOKUP("Total",FUT_18_Appr_Tot,Age25_29, FALSE)-HLOOKUP("Not applicable",FUT_18_Appr_Tot,Age25_29, FALSE)),":")</f>
        <v>:</v>
      </c>
      <c r="M190" s="53" t="str">
        <f>IFERROR(HLOOKUP($B190,FUT_18_Appr_Men,Age25_29, FALSE)/(HLOOKUP("Total",FUT_18_Appr_Men,Age25_29, FALSE)-HLOOKUP("Not applicable",FUT_18_Appr_Men,Age25_29, FALSE)),":")</f>
        <v>:</v>
      </c>
      <c r="N190" s="54" t="str">
        <f>IFERROR(HLOOKUP($B190,FUT_18_Appr_Women,Age25_29, FALSE)/(HLOOKUP("Total",FUT_18_Appr_Women,Age25_29, FALSE)-HLOOKUP("Not applicable",FUT_18_Appr_Women,Age25_29, FALSE)),":")</f>
        <v>:</v>
      </c>
    </row>
    <row r="191" spans="1:14" outlineLevel="1" x14ac:dyDescent="0.35">
      <c r="A191" s="50"/>
      <c r="B191" s="60" t="s">
        <v>100</v>
      </c>
      <c r="C191" s="52" t="str">
        <f>IFERROR(HLOOKUP($B191,FUT_18_Appr_Tot,Age15_29, FALSE)/(HLOOKUP("Total",FUT_18_Appr_Tot,Age15_29, FALSE)-HLOOKUP("Not applicable",FUT_18_Appr_Tot,Age15_29, FALSE)),":")</f>
        <v>:</v>
      </c>
      <c r="D191" s="53" t="str">
        <f>IFERROR(HLOOKUP($B191,FUT_18_Appr_Men,Age15_29, FALSE)/(HLOOKUP("Total",FUT_18_Appr_Men,Age15_29, FALSE)-HLOOKUP("Not applicable",FUT_18_Appr_Men,Age15_29, FALSE)),":")</f>
        <v>:</v>
      </c>
      <c r="E191" s="54" t="str">
        <f>IFERROR(HLOOKUP($B191,FUT_18_Appr_Women,Age15_29, FALSE)/(HLOOKUP("Total",FUT_18_Appr_Women,Age15_29, FALSE)-HLOOKUP("Not applicable",FUT_18_Appr_Women,Age15_29, FALSE)),":")</f>
        <v>:</v>
      </c>
      <c r="F191" s="52" t="str">
        <f>IFERROR(HLOOKUP($B191,FUT_18_Appr_Tot,Age15_19, FALSE)/(HLOOKUP("Total",FUT_18_Appr_Tot,Age15_19, FALSE)-HLOOKUP("Not applicable",FUT_18_Appr_Tot,Age15_19, FALSE)),":")</f>
        <v>:</v>
      </c>
      <c r="G191" s="53" t="str">
        <f>IFERROR(HLOOKUP($B191,FUT_18_Appr_Men,Age15_19, FALSE)/(HLOOKUP("Total",FUT_18_Appr_Men,Age15_19, FALSE)-HLOOKUP("Not applicable",FUT_18_Appr_Men,Age15_19, FALSE)),":")</f>
        <v>:</v>
      </c>
      <c r="H191" s="54" t="str">
        <f>IFERROR(HLOOKUP($B191,FUT_18_Appr_Women,Age15_19, FALSE)/(HLOOKUP("Total",FUT_18_Appr_Women,Age15_19, FALSE)-HLOOKUP("Not applicable",FUT_18_Appr_Women,Age15_19, FALSE)),":")</f>
        <v>:</v>
      </c>
      <c r="I191" s="52" t="str">
        <f>IFERROR(HLOOKUP($B191,FUT_18_Appr_Tot,Age20_24, FALSE)/(HLOOKUP("Total",FUT_18_Appr_Tot,Age20_24, FALSE)-HLOOKUP("Not applicable",FUT_18_Appr_Tot,Age20_24, FALSE)),":")</f>
        <v>:</v>
      </c>
      <c r="J191" s="53" t="str">
        <f>IFERROR(HLOOKUP($B191,FUT_18_Appr_Men,Age20_24, FALSE)/(HLOOKUP("Total",FUT_18_Appr_Men,Age20_24, FALSE)-HLOOKUP("Not applicable",FUT_18_Appr_Men,Age20_24, FALSE)),":")</f>
        <v>:</v>
      </c>
      <c r="K191" s="54" t="str">
        <f>IFERROR(HLOOKUP($B191,FUT_18_Appr_Women,Age20_24, FALSE)/(HLOOKUP("Total",FUT_18_Appr_Women,Age20_24, FALSE)-HLOOKUP("Not applicable",FUT_18_Appr_Women,Age20_24, FALSE)),":")</f>
        <v>:</v>
      </c>
      <c r="L191" s="52" t="str">
        <f>IFERROR(HLOOKUP($B191,FUT_18_Appr_Tot,Age25_29, FALSE)/(HLOOKUP("Total",FUT_18_Appr_Tot,Age25_29, FALSE)-HLOOKUP("Not applicable",FUT_18_Appr_Tot,Age25_29, FALSE)),":")</f>
        <v>:</v>
      </c>
      <c r="M191" s="53" t="str">
        <f>IFERROR(HLOOKUP($B191,FUT_18_Appr_Men,Age25_29, FALSE)/(HLOOKUP("Total",FUT_18_Appr_Men,Age25_29, FALSE)-HLOOKUP("Not applicable",FUT_18_Appr_Men,Age25_29, FALSE)),":")</f>
        <v>:</v>
      </c>
      <c r="N191" s="54" t="str">
        <f>IFERROR(HLOOKUP($B191,FUT_18_Appr_Women,Age25_29, FALSE)/(HLOOKUP("Total",FUT_18_Appr_Women,Age25_29, FALSE)-HLOOKUP("Not applicable",FUT_18_Appr_Women,Age25_29, FALSE)),":")</f>
        <v>:</v>
      </c>
    </row>
    <row r="192" spans="1:14" ht="15" thickBot="1" x14ac:dyDescent="0.4">
      <c r="A192" s="105" t="s">
        <v>21</v>
      </c>
      <c r="B192" s="106"/>
      <c r="C192" s="107" t="str">
        <f>IFERROR(HLOOKUP($A192,FUT_18_Appr_Tot,Age15_29, FALSE)/(HLOOKUP("Total",FUT_18_Appr_Tot,Age15_29, FALSE)-HLOOKUP("Not applicable",FUT_18_Appr_Tot,Age15_29, FALSE)),":")</f>
        <v>:</v>
      </c>
      <c r="D192" s="108" t="str">
        <f>IFERROR(HLOOKUP($A192,FUT_18_Appr_Men,Age15_29, FALSE)/(HLOOKUP("Total",FUT_18_Appr_Men,Age15_29, FALSE)-HLOOKUP("Not applicable",FUT_18_Appr_Men,Age15_29, FALSE)),":")</f>
        <v>:</v>
      </c>
      <c r="E192" s="109" t="str">
        <f>IFERROR(HLOOKUP($A192,FUT_18_Appr_Women,Age15_29, FALSE)/(HLOOKUP("Total",FUT_18_Appr_Women,Age15_29, FALSE)-HLOOKUP("Not applicable",FUT_18_Appr_Women,Age15_29, FALSE)),":")</f>
        <v>:</v>
      </c>
      <c r="F192" s="107" t="str">
        <f>IFERROR(HLOOKUP($A192,FUT_18_Appr_Tot,Age15_19, FALSE)/(HLOOKUP("Total",FUT_18_Appr_Tot,Age15_19, FALSE)-HLOOKUP("Not applicable",FUT_18_Appr_Tot,Age15_19, FALSE)),":")</f>
        <v>:</v>
      </c>
      <c r="G192" s="108" t="str">
        <f>IFERROR(HLOOKUP($A192,FUT_18_Appr_Men,Age15_19, FALSE)/(HLOOKUP("Total",FUT_18_Appr_Men,Age15_19, FALSE)-HLOOKUP("Not applicable",FUT_18_Appr_Men,Age15_19, FALSE)),":")</f>
        <v>:</v>
      </c>
      <c r="H192" s="109" t="str">
        <f>IFERROR(HLOOKUP($A192,FUT_18_Appr_Women,Age15_19, FALSE)/(HLOOKUP("Total",FUT_18_Appr_Women,Age15_19, FALSE)-HLOOKUP("Not applicable",FUT_18_Appr_Women,Age15_19, FALSE)),":")</f>
        <v>:</v>
      </c>
      <c r="I192" s="107" t="str">
        <f>IFERROR(HLOOKUP($A192,FUT_18_Appr_Tot,Age20_24, FALSE)/(HLOOKUP("Total",FUT_18_Appr_Tot,Age20_24, FALSE)-HLOOKUP("Not applicable",FUT_18_Appr_Tot,Age20_24, FALSE)),":")</f>
        <v>:</v>
      </c>
      <c r="J192" s="108" t="str">
        <f>IFERROR(HLOOKUP($A192,FUT_18_Appr_Men,Age20_24, FALSE)/(HLOOKUP("Total",FUT_18_Appr_Men,Age20_24, FALSE)-HLOOKUP("Not applicable",FUT_18_Appr_Men,Age20_24, FALSE)),":")</f>
        <v>:</v>
      </c>
      <c r="K192" s="109" t="str">
        <f>IFERROR(HLOOKUP($A192,FUT_18_Appr_Women,Age20_24, FALSE)/(HLOOKUP("Total",FUT_18_Appr_Women,Age20_24, FALSE)-HLOOKUP("Not applicable",FUT_18_Appr_Women,Age20_24, FALSE)),":")</f>
        <v>:</v>
      </c>
      <c r="L192" s="107" t="str">
        <f>IFERROR(HLOOKUP($A192,FUT_18_Appr_Tot,Age25_29, FALSE)/(HLOOKUP("Total",FUT_18_Appr_Tot,Age25_29, FALSE)-HLOOKUP("Not applicable",FUT_18_Appr_Tot,Age25_29, FALSE)),":")</f>
        <v>:</v>
      </c>
      <c r="M192" s="108" t="str">
        <f>IFERROR(HLOOKUP($A192,FUT_18_Appr_Men,Age25_29, FALSE)/(HLOOKUP("Total",FUT_18_Appr_Men,Age25_29, FALSE)-HLOOKUP("Not applicable",FUT_18_Appr_Men,Age25_29, FALSE)),":")</f>
        <v>:</v>
      </c>
      <c r="N192" s="109" t="str">
        <f>IFERROR(HLOOKUP($A192,FUT_18_Appr_Women,Age25_29, FALSE)/(HLOOKUP("Total",FUT_18_Appr_Women,Age25_29, FALSE)-HLOOKUP("Not applicable",FUT_18_Appr_Women,Age25_29, FALSE)),":")</f>
        <v>:</v>
      </c>
    </row>
    <row r="193" spans="1:14" ht="15" thickTop="1" x14ac:dyDescent="0.35"/>
    <row r="194" spans="1:14" s="45" customFormat="1" x14ac:dyDescent="0.35">
      <c r="A194" s="45" t="s">
        <v>211</v>
      </c>
      <c r="C194" s="45" t="s">
        <v>201</v>
      </c>
    </row>
    <row r="195" spans="1:14" s="45" customFormat="1" ht="58.5" customHeight="1" x14ac:dyDescent="0.35">
      <c r="A195" s="45" t="s">
        <v>214</v>
      </c>
      <c r="C195" s="371" t="s">
        <v>448</v>
      </c>
      <c r="D195" s="371"/>
      <c r="E195" s="371"/>
      <c r="F195" s="371"/>
      <c r="G195" s="371"/>
      <c r="H195" s="371"/>
      <c r="I195" s="371"/>
      <c r="J195" s="371"/>
      <c r="K195" s="203"/>
    </row>
    <row r="196" spans="1:14" ht="15" thickBot="1" x14ac:dyDescent="0.4"/>
    <row r="197" spans="1:14" ht="15.75" customHeight="1" thickTop="1" x14ac:dyDescent="0.35">
      <c r="A197" s="361" t="s">
        <v>192</v>
      </c>
      <c r="B197" s="369"/>
      <c r="C197" s="365" t="s">
        <v>240</v>
      </c>
      <c r="D197" s="366"/>
      <c r="E197" s="367"/>
      <c r="F197" s="365" t="s">
        <v>11</v>
      </c>
      <c r="G197" s="366"/>
      <c r="H197" s="367"/>
      <c r="I197" s="368" t="s">
        <v>13</v>
      </c>
      <c r="J197" s="366"/>
      <c r="K197" s="367"/>
      <c r="L197" s="365" t="s">
        <v>239</v>
      </c>
      <c r="M197" s="366"/>
      <c r="N197" s="373"/>
    </row>
    <row r="198" spans="1:14" x14ac:dyDescent="0.35">
      <c r="A198" s="363"/>
      <c r="B198" s="370"/>
      <c r="C198" s="49" t="s">
        <v>3</v>
      </c>
      <c r="D198" s="47" t="s">
        <v>4</v>
      </c>
      <c r="E198" s="48" t="s">
        <v>5</v>
      </c>
      <c r="F198" s="49" t="s">
        <v>3</v>
      </c>
      <c r="G198" s="47" t="s">
        <v>4</v>
      </c>
      <c r="H198" s="48" t="s">
        <v>5</v>
      </c>
      <c r="I198" s="46" t="s">
        <v>3</v>
      </c>
      <c r="J198" s="47" t="s">
        <v>4</v>
      </c>
      <c r="K198" s="48" t="s">
        <v>5</v>
      </c>
      <c r="L198" s="49" t="s">
        <v>3</v>
      </c>
      <c r="M198" s="47" t="s">
        <v>4</v>
      </c>
      <c r="N198" s="204" t="s">
        <v>5</v>
      </c>
    </row>
    <row r="199" spans="1:14" x14ac:dyDescent="0.35">
      <c r="A199" s="99" t="s">
        <v>193</v>
      </c>
      <c r="B199" s="100"/>
      <c r="C199" s="101" t="str">
        <f t="shared" ref="C199:E199" si="78">IF(COUNT(C200:C203)&gt;0,SUM(C200:C203),":")</f>
        <v>:</v>
      </c>
      <c r="D199" s="102" t="str">
        <f t="shared" si="78"/>
        <v>:</v>
      </c>
      <c r="E199" s="103" t="str">
        <f t="shared" si="78"/>
        <v>:</v>
      </c>
      <c r="F199" s="101" t="str">
        <f t="shared" ref="F199:K199" si="79">IF(COUNT(F200:F203)&gt;0,SUM(F200:F203),":")</f>
        <v>:</v>
      </c>
      <c r="G199" s="102" t="str">
        <f t="shared" si="79"/>
        <v>:</v>
      </c>
      <c r="H199" s="103" t="str">
        <f t="shared" si="79"/>
        <v>:</v>
      </c>
      <c r="I199" s="101" t="str">
        <f t="shared" si="79"/>
        <v>:</v>
      </c>
      <c r="J199" s="102" t="str">
        <f t="shared" si="79"/>
        <v>:</v>
      </c>
      <c r="K199" s="103" t="str">
        <f t="shared" si="79"/>
        <v>:</v>
      </c>
      <c r="L199" s="101" t="str">
        <f t="shared" ref="L199:N199" si="80">IF(COUNT(L200:L203)&gt;0,SUM(L200:L203),":")</f>
        <v>:</v>
      </c>
      <c r="M199" s="102" t="str">
        <f t="shared" si="80"/>
        <v>:</v>
      </c>
      <c r="N199" s="103" t="str">
        <f t="shared" si="80"/>
        <v>:</v>
      </c>
    </row>
    <row r="200" spans="1:14" outlineLevel="1" x14ac:dyDescent="0.35">
      <c r="A200" s="50"/>
      <c r="B200" s="60" t="s">
        <v>15</v>
      </c>
      <c r="C200" s="52" t="str">
        <f>IFERROR(HLOOKUP($B200,FUT_6_Train_Tot,Age15_29, FALSE)/(HLOOKUP("Total",FUT_6_Train_Tot,Age15_29, FALSE)-HLOOKUP("Not applicable",FUT_6_Train_Tot,Age15_29, FALSE)),":")</f>
        <v>:</v>
      </c>
      <c r="D200" s="53" t="str">
        <f>IFERROR(HLOOKUP($B200,FUT_6_Train_Men,Age15_29, FALSE)/(HLOOKUP("Total",FUT_6_Train_Men,Age15_29, FALSE)-HLOOKUP("Not applicable",FUT_6_Train_Men,Age15_29, FALSE)),":")</f>
        <v>:</v>
      </c>
      <c r="E200" s="54" t="str">
        <f>IFERROR(HLOOKUP($B200,FUT_6_Train_Women,Age15_29, FALSE)/(HLOOKUP("Total",FUT_6_Train_Women,Age15_29, FALSE)-HLOOKUP("Not applicable",FUT_6_Train_Women,Age15_29, FALSE)),":")</f>
        <v>:</v>
      </c>
      <c r="F200" s="52" t="str">
        <f>IFERROR(HLOOKUP($B200,FUT_6_Train_Tot,Age15_19, FALSE)/(HLOOKUP("Total",FUT_6_Train_Tot,Age15_19, FALSE)-HLOOKUP("Not applicable",FUT_6_Train_Tot,Age15_19, FALSE)),":")</f>
        <v>:</v>
      </c>
      <c r="G200" s="53" t="str">
        <f>IFERROR(HLOOKUP($B200,FUT_6_Train_Men,Age15_19, FALSE)/(HLOOKUP("Total",FUT_6_Train_Men,Age15_19, FALSE)-HLOOKUP("Not applicable",FUT_6_Train_Men,Age15_19, FALSE)),":")</f>
        <v>:</v>
      </c>
      <c r="H200" s="54" t="str">
        <f>IFERROR(HLOOKUP($B200,FUT_6_Train_Women,Age15_19, FALSE)/(HLOOKUP("Total",FUT_6_Train_Women,Age15_19, FALSE)-HLOOKUP("Not applicable",FUT_6_Train_Women,Age15_19, FALSE)),":")</f>
        <v>:</v>
      </c>
      <c r="I200" s="52" t="str">
        <f>IFERROR(HLOOKUP($B200,FUT_6_Train_Tot,Age20_24, FALSE)/(HLOOKUP("Total",FUT_6_Train_Tot,Age20_24, FALSE)-HLOOKUP("Not applicable",FUT_6_Train_Tot,Age20_24, FALSE)),":")</f>
        <v>:</v>
      </c>
      <c r="J200" s="53" t="str">
        <f>IFERROR(HLOOKUP($B200,FUT_6_Train_Men,Age20_24, FALSE)/(HLOOKUP("Total",FUT_6_Train_Men,Age20_24, FALSE)-HLOOKUP("Not applicable",FUT_6_Train_Men,Age20_24, FALSE)),":")</f>
        <v>:</v>
      </c>
      <c r="K200" s="54" t="str">
        <f>IFERROR(HLOOKUP($B200,FUT_6_Train_Women,Age20_24, FALSE)/(HLOOKUP("Total",FUT_6_Train_Women,Age20_24, FALSE)-HLOOKUP("Not applicable",FUT_6_Train_Women,Age20_24, FALSE)),":")</f>
        <v>:</v>
      </c>
      <c r="L200" s="52" t="str">
        <f>IFERROR(HLOOKUP($B200,FUT_6_Train_Tot,Age25_29, FALSE)/(HLOOKUP("Total",FUT_6_Train_Tot,Age25_29, FALSE)-HLOOKUP("Not applicable",FUT_6_Train_Tot,Age25_29, FALSE)),":")</f>
        <v>:</v>
      </c>
      <c r="M200" s="53" t="str">
        <f>IFERROR(HLOOKUP($B200,FUT_6_Train_Men,Age25_29, FALSE)/(HLOOKUP("Total",FUT_6_Train_Men,Age25_29, FALSE)-HLOOKUP("Not applicable",FUT_6_Train_Men,Age25_29, FALSE)),":")</f>
        <v>:</v>
      </c>
      <c r="N200" s="54" t="str">
        <f>IFERROR(HLOOKUP($B200,FUT_6_Train_Women,Age25_29, FALSE)/(HLOOKUP("Total",FUT_6_Train_Women,Age25_29, FALSE)-HLOOKUP("Not applicable",FUT_6_Train_Women,Age25_29, FALSE)),":")</f>
        <v>:</v>
      </c>
    </row>
    <row r="201" spans="1:14" outlineLevel="1" x14ac:dyDescent="0.35">
      <c r="A201" s="50"/>
      <c r="B201" s="60" t="s">
        <v>16</v>
      </c>
      <c r="C201" s="52" t="str">
        <f>IFERROR(HLOOKUP($B201,FUT_6_Train_Tot,Age15_29, FALSE)/(HLOOKUP("Total",FUT_6_Train_Tot,Age15_29, FALSE)-HLOOKUP("Not applicable",FUT_6_Train_Tot,Age15_29, FALSE)),":")</f>
        <v>:</v>
      </c>
      <c r="D201" s="53" t="str">
        <f>IFERROR(HLOOKUP($B201,FUT_6_Train_Men,Age15_29, FALSE)/(HLOOKUP("Total",FUT_6_Train_Men,Age15_29, FALSE)-HLOOKUP("Not applicable",FUT_6_Train_Men,Age15_29, FALSE)),":")</f>
        <v>:</v>
      </c>
      <c r="E201" s="54" t="str">
        <f>IFERROR(HLOOKUP($B201,FUT_6_Train_Women,Age15_29, FALSE)/(HLOOKUP("Total",FUT_6_Train_Women,Age15_29, FALSE)-HLOOKUP("Not applicable",FUT_6_Train_Women,Age15_29, FALSE)),":")</f>
        <v>:</v>
      </c>
      <c r="F201" s="52" t="str">
        <f>IFERROR(HLOOKUP($B201,FUT_6_Train_Tot,Age15_19, FALSE)/(HLOOKUP("Total",FUT_6_Train_Tot,Age15_19, FALSE)-HLOOKUP("Not applicable",FUT_6_Train_Tot,Age15_19, FALSE)),":")</f>
        <v>:</v>
      </c>
      <c r="G201" s="53" t="str">
        <f>IFERROR(HLOOKUP($B201,FUT_6_Train_Men,Age15_19, FALSE)/(HLOOKUP("Total",FUT_6_Train_Men,Age15_19, FALSE)-HLOOKUP("Not applicable",FUT_6_Train_Men,Age15_19, FALSE)),":")</f>
        <v>:</v>
      </c>
      <c r="H201" s="54" t="str">
        <f>IFERROR(HLOOKUP($B201,FUT_6_Train_Women,Age15_19, FALSE)/(HLOOKUP("Total",FUT_6_Train_Women,Age15_19, FALSE)-HLOOKUP("Not applicable",FUT_6_Train_Women,Age15_19, FALSE)),":")</f>
        <v>:</v>
      </c>
      <c r="I201" s="52" t="str">
        <f>IFERROR(HLOOKUP($B201,FUT_6_Train_Tot,Age20_24, FALSE)/(HLOOKUP("Total",FUT_6_Train_Tot,Age20_24, FALSE)-HLOOKUP("Not applicable",FUT_6_Train_Tot,Age20_24, FALSE)),":")</f>
        <v>:</v>
      </c>
      <c r="J201" s="53" t="str">
        <f>IFERROR(HLOOKUP($B201,FUT_6_Train_Men,Age20_24, FALSE)/(HLOOKUP("Total",FUT_6_Train_Men,Age20_24, FALSE)-HLOOKUP("Not applicable",FUT_6_Train_Men,Age20_24, FALSE)),":")</f>
        <v>:</v>
      </c>
      <c r="K201" s="54" t="str">
        <f>IFERROR(HLOOKUP($B201,FUT_6_Train_Women,Age20_24, FALSE)/(HLOOKUP("Total",FUT_6_Train_Women,Age20_24, FALSE)-HLOOKUP("Not applicable",FUT_6_Train_Women,Age20_24, FALSE)),":")</f>
        <v>:</v>
      </c>
      <c r="L201" s="52" t="str">
        <f>IFERROR(HLOOKUP($B201,FUT_6_Train_Tot,Age25_29, FALSE)/(HLOOKUP("Total",FUT_6_Train_Tot,Age25_29, FALSE)-HLOOKUP("Not applicable",FUT_6_Train_Tot,Age25_29, FALSE)),":")</f>
        <v>:</v>
      </c>
      <c r="M201" s="53" t="str">
        <f>IFERROR(HLOOKUP($B201,FUT_6_Train_Men,Age25_29, FALSE)/(HLOOKUP("Total",FUT_6_Train_Men,Age25_29, FALSE)-HLOOKUP("Not applicable",FUT_6_Train_Men,Age25_29, FALSE)),":")</f>
        <v>:</v>
      </c>
      <c r="N201" s="54" t="str">
        <f>IFERROR(HLOOKUP($B201,FUT_6_Train_Women,Age25_29, FALSE)/(HLOOKUP("Total",FUT_6_Train_Women,Age25_29, FALSE)-HLOOKUP("Not applicable",FUT_6_Train_Women,Age25_29, FALSE)),":")</f>
        <v>:</v>
      </c>
    </row>
    <row r="202" spans="1:14" outlineLevel="1" x14ac:dyDescent="0.35">
      <c r="A202" s="50"/>
      <c r="B202" s="60" t="s">
        <v>17</v>
      </c>
      <c r="C202" s="52" t="str">
        <f>IFERROR(HLOOKUP($B202,FUT_6_Train_Tot,Age15_29, FALSE)/(HLOOKUP("Total",FUT_6_Train_Tot,Age15_29, FALSE)-HLOOKUP("Not applicable",FUT_6_Train_Tot,Age15_29, FALSE)),":")</f>
        <v>:</v>
      </c>
      <c r="D202" s="53" t="str">
        <f>IFERROR(HLOOKUP($B202,FUT_6_Train_Men,Age15_29, FALSE)/(HLOOKUP("Total",FUT_6_Train_Men,Age15_29, FALSE)-HLOOKUP("Not applicable",FUT_6_Train_Men,Age15_29, FALSE)),":")</f>
        <v>:</v>
      </c>
      <c r="E202" s="54" t="str">
        <f>IFERROR(HLOOKUP($B202,FUT_6_Train_Women,Age15_29, FALSE)/(HLOOKUP("Total",FUT_6_Train_Women,Age15_29, FALSE)-HLOOKUP("Not applicable",FUT_6_Train_Women,Age15_29, FALSE)),":")</f>
        <v>:</v>
      </c>
      <c r="F202" s="52" t="str">
        <f>IFERROR(HLOOKUP($B202,FUT_6_Train_Tot,Age15_19, FALSE)/(HLOOKUP("Total",FUT_6_Train_Tot,Age15_19, FALSE)-HLOOKUP("Not applicable",FUT_6_Train_Tot,Age15_19, FALSE)),":")</f>
        <v>:</v>
      </c>
      <c r="G202" s="53" t="str">
        <f>IFERROR(HLOOKUP($B202,FUT_6_Train_Men,Age15_19, FALSE)/(HLOOKUP("Total",FUT_6_Train_Men,Age15_19, FALSE)-HLOOKUP("Not applicable",FUT_6_Train_Men,Age15_19, FALSE)),":")</f>
        <v>:</v>
      </c>
      <c r="H202" s="54" t="str">
        <f>IFERROR(HLOOKUP($B202,FUT_6_Train_Women,Age15_19, FALSE)/(HLOOKUP("Total",FUT_6_Train_Women,Age15_19, FALSE)-HLOOKUP("Not applicable",FUT_6_Train_Women,Age15_19, FALSE)),":")</f>
        <v>:</v>
      </c>
      <c r="I202" s="52" t="str">
        <f>IFERROR(HLOOKUP($B202,FUT_6_Train_Tot,Age20_24, FALSE)/(HLOOKUP("Total",FUT_6_Train_Tot,Age20_24, FALSE)-HLOOKUP("Not applicable",FUT_6_Train_Tot,Age20_24, FALSE)),":")</f>
        <v>:</v>
      </c>
      <c r="J202" s="53" t="str">
        <f>IFERROR(HLOOKUP($B202,FUT_6_Train_Men,Age20_24, FALSE)/(HLOOKUP("Total",FUT_6_Train_Men,Age20_24, FALSE)-HLOOKUP("Not applicable",FUT_6_Train_Men,Age20_24, FALSE)),":")</f>
        <v>:</v>
      </c>
      <c r="K202" s="54" t="str">
        <f>IFERROR(HLOOKUP($B202,FUT_6_Train_Women,Age20_24, FALSE)/(HLOOKUP("Total",FUT_6_Train_Women,Age20_24, FALSE)-HLOOKUP("Not applicable",FUT_6_Train_Women,Age20_24, FALSE)),":")</f>
        <v>:</v>
      </c>
      <c r="L202" s="52" t="str">
        <f>IFERROR(HLOOKUP($B202,FUT_6_Train_Tot,Age25_29, FALSE)/(HLOOKUP("Total",FUT_6_Train_Tot,Age25_29, FALSE)-HLOOKUP("Not applicable",FUT_6_Train_Tot,Age25_29, FALSE)),":")</f>
        <v>:</v>
      </c>
      <c r="M202" s="53" t="str">
        <f>IFERROR(HLOOKUP($B202,FUT_6_Train_Men,Age25_29, FALSE)/(HLOOKUP("Total",FUT_6_Train_Men,Age25_29, FALSE)-HLOOKUP("Not applicable",FUT_6_Train_Men,Age25_29, FALSE)),":")</f>
        <v>:</v>
      </c>
      <c r="N202" s="54" t="str">
        <f>IFERROR(HLOOKUP($B202,FUT_6_Train_Women,Age25_29, FALSE)/(HLOOKUP("Total",FUT_6_Train_Women,Age25_29, FALSE)-HLOOKUP("Not applicable",FUT_6_Train_Women,Age25_29, FALSE)),":")</f>
        <v>:</v>
      </c>
    </row>
    <row r="203" spans="1:14" outlineLevel="1" x14ac:dyDescent="0.35">
      <c r="A203" s="50"/>
      <c r="B203" s="60" t="s">
        <v>18</v>
      </c>
      <c r="C203" s="52" t="str">
        <f>IFERROR(HLOOKUP($B203,FUT_6_Train_Tot,Age15_29, FALSE)/(HLOOKUP("Total",FUT_6_Train_Tot,Age15_29, FALSE)-HLOOKUP("Not applicable",FUT_6_Train_Tot,Age15_29, FALSE)),":")</f>
        <v>:</v>
      </c>
      <c r="D203" s="53" t="str">
        <f>IFERROR(HLOOKUP($B203,FUT_6_Train_Men,Age15_29, FALSE)/(HLOOKUP("Total",FUT_6_Train_Men,Age15_29, FALSE)-HLOOKUP("Not applicable",FUT_6_Train_Men,Age15_29, FALSE)),":")</f>
        <v>:</v>
      </c>
      <c r="E203" s="54" t="str">
        <f>IFERROR(HLOOKUP($B203,FUT_6_Train_Women,Age15_29, FALSE)/(HLOOKUP("Total",FUT_6_Train_Women,Age15_29, FALSE)-HLOOKUP("Not applicable",FUT_6_Train_Women,Age15_29, FALSE)),":")</f>
        <v>:</v>
      </c>
      <c r="F203" s="52" t="str">
        <f>IFERROR(HLOOKUP($B203,FUT_6_Train_Tot,Age15_19, FALSE)/(HLOOKUP("Total",FUT_6_Train_Tot,Age15_19, FALSE)-HLOOKUP("Not applicable",FUT_6_Train_Tot,Age15_19, FALSE)),":")</f>
        <v>:</v>
      </c>
      <c r="G203" s="53" t="str">
        <f>IFERROR(HLOOKUP($B203,FUT_6_Train_Men,Age15_19, FALSE)/(HLOOKUP("Total",FUT_6_Train_Men,Age15_19, FALSE)-HLOOKUP("Not applicable",FUT_6_Train_Men,Age15_19, FALSE)),":")</f>
        <v>:</v>
      </c>
      <c r="H203" s="54" t="str">
        <f>IFERROR(HLOOKUP($B203,FUT_6_Train_Women,Age15_19, FALSE)/(HLOOKUP("Total",FUT_6_Train_Women,Age15_19, FALSE)-HLOOKUP("Not applicable",FUT_6_Train_Women,Age15_19, FALSE)),":")</f>
        <v>:</v>
      </c>
      <c r="I203" s="52" t="str">
        <f>IFERROR(HLOOKUP($B203,FUT_6_Train_Tot,Age20_24, FALSE)/(HLOOKUP("Total",FUT_6_Train_Tot,Age20_24, FALSE)-HLOOKUP("Not applicable",FUT_6_Train_Tot,Age20_24, FALSE)),":")</f>
        <v>:</v>
      </c>
      <c r="J203" s="53" t="str">
        <f>IFERROR(HLOOKUP($B203,FUT_6_Train_Men,Age20_24, FALSE)/(HLOOKUP("Total",FUT_6_Train_Men,Age20_24, FALSE)-HLOOKUP("Not applicable",FUT_6_Train_Men,Age20_24, FALSE)),":")</f>
        <v>:</v>
      </c>
      <c r="K203" s="54" t="str">
        <f>IFERROR(HLOOKUP($B203,FUT_6_Train_Women,Age20_24, FALSE)/(HLOOKUP("Total",FUT_6_Train_Women,Age20_24, FALSE)-HLOOKUP("Not applicable",FUT_6_Train_Women,Age20_24, FALSE)),":")</f>
        <v>:</v>
      </c>
      <c r="L203" s="52" t="str">
        <f>IFERROR(HLOOKUP($B203,FUT_6_Train_Tot,Age25_29, FALSE)/(HLOOKUP("Total",FUT_6_Train_Tot,Age25_29, FALSE)-HLOOKUP("Not applicable",FUT_6_Train_Tot,Age25_29, FALSE)),":")</f>
        <v>:</v>
      </c>
      <c r="M203" s="53" t="str">
        <f>IFERROR(HLOOKUP($B203,FUT_6_Train_Men,Age25_29, FALSE)/(HLOOKUP("Total",FUT_6_Train_Men,Age25_29, FALSE)-HLOOKUP("Not applicable",FUT_6_Train_Men,Age25_29, FALSE)),":")</f>
        <v>:</v>
      </c>
      <c r="N203" s="54" t="str">
        <f>IFERROR(HLOOKUP($B203,FUT_6_Train_Women,Age25_29, FALSE)/(HLOOKUP("Total",FUT_6_Train_Women,Age25_29, FALSE)-HLOOKUP("Not applicable",FUT_6_Train_Women,Age25_29, FALSE)),":")</f>
        <v>:</v>
      </c>
    </row>
    <row r="204" spans="1:14" x14ac:dyDescent="0.35">
      <c r="A204" s="99" t="s">
        <v>194</v>
      </c>
      <c r="B204" s="104"/>
      <c r="C204" s="101" t="str">
        <f t="shared" ref="C204:E204" si="81">IF(COUNT(C205:C206)&gt;0,SUM(C205:C206),":")</f>
        <v>:</v>
      </c>
      <c r="D204" s="102" t="str">
        <f t="shared" si="81"/>
        <v>:</v>
      </c>
      <c r="E204" s="103" t="str">
        <f t="shared" si="81"/>
        <v>:</v>
      </c>
      <c r="F204" s="101" t="str">
        <f t="shared" ref="F204:K204" si="82">IF(COUNT(F205:F206)&gt;0,SUM(F205:F206),":")</f>
        <v>:</v>
      </c>
      <c r="G204" s="102" t="str">
        <f t="shared" si="82"/>
        <v>:</v>
      </c>
      <c r="H204" s="103" t="str">
        <f t="shared" si="82"/>
        <v>:</v>
      </c>
      <c r="I204" s="101" t="str">
        <f t="shared" si="82"/>
        <v>:</v>
      </c>
      <c r="J204" s="102" t="str">
        <f t="shared" si="82"/>
        <v>:</v>
      </c>
      <c r="K204" s="103" t="str">
        <f t="shared" si="82"/>
        <v>:</v>
      </c>
      <c r="L204" s="101" t="str">
        <f t="shared" ref="L204:N204" si="83">IF(COUNT(L205:L206)&gt;0,SUM(L205:L206),":")</f>
        <v>:</v>
      </c>
      <c r="M204" s="102" t="str">
        <f t="shared" si="83"/>
        <v>:</v>
      </c>
      <c r="N204" s="103" t="str">
        <f t="shared" si="83"/>
        <v>:</v>
      </c>
    </row>
    <row r="205" spans="1:14" outlineLevel="1" x14ac:dyDescent="0.35">
      <c r="A205" s="50"/>
      <c r="B205" s="60" t="s">
        <v>20</v>
      </c>
      <c r="C205" s="52" t="str">
        <f>IFERROR(HLOOKUP($B205,FUT_6_Train_Tot,Age15_29, FALSE)/(HLOOKUP("Total",FUT_6_Train_Tot,Age15_29, FALSE)-HLOOKUP("Not applicable",FUT_6_Train_Tot,Age15_29, FALSE)),":")</f>
        <v>:</v>
      </c>
      <c r="D205" s="53" t="str">
        <f>IFERROR(HLOOKUP($B205,FUT_6_Train_Men,Age15_29, FALSE)/(HLOOKUP("Total",FUT_6_Train_Men,Age15_29, FALSE)-HLOOKUP("Not applicable",FUT_6_Train_Men,Age15_29, FALSE)),":")</f>
        <v>:</v>
      </c>
      <c r="E205" s="54" t="str">
        <f>IFERROR(HLOOKUP($B205,FUT_6_Train_Women,Age15_29, FALSE)/(HLOOKUP("Total",FUT_6_Train_Women,Age15_29, FALSE)-HLOOKUP("Not applicable",FUT_6_Train_Women,Age15_29, FALSE)),":")</f>
        <v>:</v>
      </c>
      <c r="F205" s="52" t="str">
        <f>IFERROR(HLOOKUP($B205,FUT_6_Train_Tot,Age15_19, FALSE)/(HLOOKUP("Total",FUT_6_Train_Tot,Age15_19, FALSE)-HLOOKUP("Not applicable",FUT_6_Train_Tot,Age15_19, FALSE)),":")</f>
        <v>:</v>
      </c>
      <c r="G205" s="53" t="str">
        <f>IFERROR(HLOOKUP($B205,FUT_6_Train_Men,Age15_19, FALSE)/(HLOOKUP("Total",FUT_6_Train_Men,Age15_19, FALSE)-HLOOKUP("Not applicable",FUT_6_Train_Men,Age15_19, FALSE)),":")</f>
        <v>:</v>
      </c>
      <c r="H205" s="54" t="str">
        <f>IFERROR(HLOOKUP($B205,FUT_6_Train_Women,Age15_19, FALSE)/(HLOOKUP("Total",FUT_6_Train_Women,Age15_19, FALSE)-HLOOKUP("Not applicable",FUT_6_Train_Women,Age15_19, FALSE)),":")</f>
        <v>:</v>
      </c>
      <c r="I205" s="52" t="str">
        <f>IFERROR(HLOOKUP($B205,FUT_6_Train_Tot,Age20_24, FALSE)/(HLOOKUP("Total",FUT_6_Train_Tot,Age20_24, FALSE)-HLOOKUP("Not applicable",FUT_6_Train_Tot,Age20_24, FALSE)),":")</f>
        <v>:</v>
      </c>
      <c r="J205" s="53" t="str">
        <f>IFERROR(HLOOKUP($B205,FUT_6_Train_Men,Age20_24, FALSE)/(HLOOKUP("Total",FUT_6_Train_Men,Age20_24, FALSE)-HLOOKUP("Not applicable",FUT_6_Train_Men,Age20_24, FALSE)),":")</f>
        <v>:</v>
      </c>
      <c r="K205" s="54" t="str">
        <f>IFERROR(HLOOKUP($B205,FUT_6_Train_Women,Age20_24, FALSE)/(HLOOKUP("Total",FUT_6_Train_Women,Age20_24, FALSE)-HLOOKUP("Not applicable",FUT_6_Train_Women,Age20_24, FALSE)),":")</f>
        <v>:</v>
      </c>
      <c r="L205" s="52" t="str">
        <f>IFERROR(HLOOKUP($B205,FUT_6_Train_Tot,Age25_29, FALSE)/(HLOOKUP("Total",FUT_6_Train_Tot,Age25_29, FALSE)-HLOOKUP("Not applicable",FUT_6_Train_Tot,Age25_29, FALSE)),":")</f>
        <v>:</v>
      </c>
      <c r="M205" s="53" t="str">
        <f>IFERROR(HLOOKUP($B205,FUT_6_Train_Men,Age25_29, FALSE)/(HLOOKUP("Total",FUT_6_Train_Men,Age25_29, FALSE)-HLOOKUP("Not applicable",FUT_6_Train_Men,Age25_29, FALSE)),":")</f>
        <v>:</v>
      </c>
      <c r="N205" s="54" t="str">
        <f>IFERROR(HLOOKUP($B205,FUT_6_Train_Women,Age25_29, FALSE)/(HLOOKUP("Total",FUT_6_Train_Women,Age25_29, FALSE)-HLOOKUP("Not applicable",FUT_6_Train_Women,Age25_29, FALSE)),":")</f>
        <v>:</v>
      </c>
    </row>
    <row r="206" spans="1:14" outlineLevel="1" x14ac:dyDescent="0.35">
      <c r="A206" s="50"/>
      <c r="B206" s="60" t="s">
        <v>100</v>
      </c>
      <c r="C206" s="52" t="str">
        <f>IFERROR(HLOOKUP($B206,FUT_6_Train_Tot,Age15_29, FALSE)/(HLOOKUP("Total",FUT_6_Train_Tot,Age15_29, FALSE)-HLOOKUP("Not applicable",FUT_6_Train_Tot,Age15_29, FALSE)),":")</f>
        <v>:</v>
      </c>
      <c r="D206" s="53" t="str">
        <f>IFERROR(HLOOKUP($B206,FUT_6_Train_Men,Age15_29, FALSE)/(HLOOKUP("Total",FUT_6_Train_Men,Age15_29, FALSE)-HLOOKUP("Not applicable",FUT_6_Train_Men,Age15_29, FALSE)),":")</f>
        <v>:</v>
      </c>
      <c r="E206" s="54" t="str">
        <f>IFERROR(HLOOKUP($B206,FUT_6_Train_Women,Age15_29, FALSE)/(HLOOKUP("Total",FUT_6_Train_Women,Age15_29, FALSE)-HLOOKUP("Not applicable",FUT_6_Train_Women,Age15_29, FALSE)),":")</f>
        <v>:</v>
      </c>
      <c r="F206" s="52" t="str">
        <f>IFERROR(HLOOKUP($B206,FUT_6_Train_Tot,Age15_19, FALSE)/(HLOOKUP("Total",FUT_6_Train_Tot,Age15_19, FALSE)-HLOOKUP("Not applicable",FUT_6_Train_Tot,Age15_19, FALSE)),":")</f>
        <v>:</v>
      </c>
      <c r="G206" s="53" t="str">
        <f>IFERROR(HLOOKUP($B206,FUT_6_Train_Men,Age15_19, FALSE)/(HLOOKUP("Total",FUT_6_Train_Men,Age15_19, FALSE)-HLOOKUP("Not applicable",FUT_6_Train_Men,Age15_19, FALSE)),":")</f>
        <v>:</v>
      </c>
      <c r="H206" s="54" t="str">
        <f>IFERROR(HLOOKUP($B206,FUT_6_Train_Women,Age15_19, FALSE)/(HLOOKUP("Total",FUT_6_Train_Women,Age15_19, FALSE)-HLOOKUP("Not applicable",FUT_6_Train_Women,Age15_19, FALSE)),":")</f>
        <v>:</v>
      </c>
      <c r="I206" s="52" t="str">
        <f>IFERROR(HLOOKUP($B206,FUT_6_Train_Tot,Age20_24, FALSE)/(HLOOKUP("Total",FUT_6_Train_Tot,Age20_24, FALSE)-HLOOKUP("Not applicable",FUT_6_Train_Tot,Age20_24, FALSE)),":")</f>
        <v>:</v>
      </c>
      <c r="J206" s="53" t="str">
        <f>IFERROR(HLOOKUP($B206,FUT_6_Train_Men,Age20_24, FALSE)/(HLOOKUP("Total",FUT_6_Train_Men,Age20_24, FALSE)-HLOOKUP("Not applicable",FUT_6_Train_Men,Age20_24, FALSE)),":")</f>
        <v>:</v>
      </c>
      <c r="K206" s="54" t="str">
        <f>IFERROR(HLOOKUP($B206,FUT_6_Train_Women,Age20_24, FALSE)/(HLOOKUP("Total",FUT_6_Train_Women,Age20_24, FALSE)-HLOOKUP("Not applicable",FUT_6_Train_Women,Age20_24, FALSE)),":")</f>
        <v>:</v>
      </c>
      <c r="L206" s="52" t="str">
        <f>IFERROR(HLOOKUP($B206,FUT_6_Train_Tot,Age25_29, FALSE)/(HLOOKUP("Total",FUT_6_Train_Tot,Age25_29, FALSE)-HLOOKUP("Not applicable",FUT_6_Train_Tot,Age25_29, FALSE)),":")</f>
        <v>:</v>
      </c>
      <c r="M206" s="53" t="str">
        <f>IFERROR(HLOOKUP($B206,FUT_6_Train_Men,Age25_29, FALSE)/(HLOOKUP("Total",FUT_6_Train_Men,Age25_29, FALSE)-HLOOKUP("Not applicable",FUT_6_Train_Men,Age25_29, FALSE)),":")</f>
        <v>:</v>
      </c>
      <c r="N206" s="54" t="str">
        <f>IFERROR(HLOOKUP($B206,FUT_6_Train_Women,Age25_29, FALSE)/(HLOOKUP("Total",FUT_6_Train_Women,Age25_29, FALSE)-HLOOKUP("Not applicable",FUT_6_Train_Women,Age25_29, FALSE)),":")</f>
        <v>:</v>
      </c>
    </row>
    <row r="207" spans="1:14" ht="15" thickBot="1" x14ac:dyDescent="0.4">
      <c r="A207" s="105" t="s">
        <v>21</v>
      </c>
      <c r="B207" s="106"/>
      <c r="C207" s="107" t="str">
        <f>IFERROR(HLOOKUP($A207,FUT_6_Train_Tot,Age15_29, FALSE)/(HLOOKUP("Total",FUT_6_Train_Tot,Age15_29, FALSE)-HLOOKUP("Not applicable",FUT_6_Train_Tot,Age15_29, FALSE)),":")</f>
        <v>:</v>
      </c>
      <c r="D207" s="108" t="str">
        <f>IFERROR(HLOOKUP($A207,FUT_6_Train_Men,Age15_29, FALSE)/(HLOOKUP("Total",FUT_6_Train_Men,Age15_29, FALSE)-HLOOKUP("Not applicable",FUT_6_Train_Men,Age15_29, FALSE)),":")</f>
        <v>:</v>
      </c>
      <c r="E207" s="109" t="str">
        <f>IFERROR(HLOOKUP($A207,FUT_6_Train_Women,Age15_29, FALSE)/(HLOOKUP("Total",FUT_6_Train_Women,Age15_29, FALSE)-HLOOKUP("Not applicable",FUT_6_Train_Women,Age15_29, FALSE)),":")</f>
        <v>:</v>
      </c>
      <c r="F207" s="107" t="str">
        <f>IFERROR(HLOOKUP($A207,FUT_6_Train_Tot,Age15_19, FALSE)/(HLOOKUP("Total",FUT_6_Train_Tot,Age15_19, FALSE)-HLOOKUP("Not applicable",FUT_6_Train_Tot,Age15_19, FALSE)),":")</f>
        <v>:</v>
      </c>
      <c r="G207" s="108" t="str">
        <f>IFERROR(HLOOKUP($A207,FUT_6_Train_Men,Age15_19, FALSE)/(HLOOKUP("Total",FUT_6_Train_Men,Age15_19, FALSE)-HLOOKUP("Not applicable",FUT_6_Train_Men,Age15_19, FALSE)),":")</f>
        <v>:</v>
      </c>
      <c r="H207" s="109" t="str">
        <f>IFERROR(HLOOKUP($A207,FUT_6_Train_Women,Age15_19, FALSE)/(HLOOKUP("Total",FUT_6_Train_Women,Age15_19, FALSE)-HLOOKUP("Not applicable",FUT_6_Train_Women,Age15_19, FALSE)),":")</f>
        <v>:</v>
      </c>
      <c r="I207" s="107" t="str">
        <f>IFERROR(HLOOKUP($A207,FUT_6_Train_Tot,Age20_24, FALSE)/(HLOOKUP("Total",FUT_6_Train_Tot,Age20_24, FALSE)-HLOOKUP("Not applicable",FUT_6_Train_Tot,Age20_24, FALSE)),":")</f>
        <v>:</v>
      </c>
      <c r="J207" s="108" t="str">
        <f>IFERROR(HLOOKUP($A207,FUT_6_Train_Men,Age20_24, FALSE)/(HLOOKUP("Total",FUT_6_Train_Men,Age20_24, FALSE)-HLOOKUP("Not applicable",FUT_6_Train_Men,Age20_24, FALSE)),":")</f>
        <v>:</v>
      </c>
      <c r="K207" s="109" t="str">
        <f>IFERROR(HLOOKUP($A207,FUT_6_Train_Women,Age20_24, FALSE)/(HLOOKUP("Total",FUT_6_Train_Women,Age20_24, FALSE)-HLOOKUP("Not applicable",FUT_6_Train_Women,Age20_24, FALSE)),":")</f>
        <v>:</v>
      </c>
      <c r="L207" s="107" t="str">
        <f>IFERROR(HLOOKUP($A207,FUT_6_Train_Tot,Age25_29, FALSE)/(HLOOKUP("Total",FUT_6_Train_Tot,Age25_29, FALSE)-HLOOKUP("Not applicable",FUT_6_Train_Tot,Age25_29, FALSE)),":")</f>
        <v>:</v>
      </c>
      <c r="M207" s="108" t="str">
        <f>IFERROR(HLOOKUP($A207,FUT_6_Train_Men,Age25_29, FALSE)/(HLOOKUP("Total",FUT_6_Train_Men,Age25_29, FALSE)-HLOOKUP("Not applicable",FUT_6_Train_Men,Age25_29, FALSE)),":")</f>
        <v>:</v>
      </c>
      <c r="N207" s="109" t="str">
        <f>IFERROR(HLOOKUP($A207,FUT_6_Train_Women,Age25_29, FALSE)/(HLOOKUP("Total",FUT_6_Train_Women,Age25_29, FALSE)-HLOOKUP("Not applicable",FUT_6_Train_Women,Age25_29, FALSE)),":")</f>
        <v>:</v>
      </c>
    </row>
    <row r="208" spans="1:14" ht="15.5" thickTop="1" thickBot="1" x14ac:dyDescent="0.4"/>
    <row r="209" spans="1:14" ht="15" thickTop="1" x14ac:dyDescent="0.35">
      <c r="A209" s="361" t="s">
        <v>196</v>
      </c>
      <c r="B209" s="369"/>
      <c r="C209" s="365" t="s">
        <v>240</v>
      </c>
      <c r="D209" s="366"/>
      <c r="E209" s="367"/>
      <c r="F209" s="365" t="s">
        <v>11</v>
      </c>
      <c r="G209" s="366"/>
      <c r="H209" s="367"/>
      <c r="I209" s="368" t="s">
        <v>13</v>
      </c>
      <c r="J209" s="366"/>
      <c r="K209" s="367"/>
      <c r="L209" s="365" t="s">
        <v>239</v>
      </c>
      <c r="M209" s="366"/>
      <c r="N209" s="373"/>
    </row>
    <row r="210" spans="1:14" x14ac:dyDescent="0.35">
      <c r="A210" s="363"/>
      <c r="B210" s="370"/>
      <c r="C210" s="49" t="s">
        <v>3</v>
      </c>
      <c r="D210" s="47" t="s">
        <v>4</v>
      </c>
      <c r="E210" s="48" t="s">
        <v>5</v>
      </c>
      <c r="F210" s="49" t="s">
        <v>3</v>
      </c>
      <c r="G210" s="47" t="s">
        <v>4</v>
      </c>
      <c r="H210" s="48" t="s">
        <v>5</v>
      </c>
      <c r="I210" s="46" t="s">
        <v>3</v>
      </c>
      <c r="J210" s="47" t="s">
        <v>4</v>
      </c>
      <c r="K210" s="48" t="s">
        <v>5</v>
      </c>
      <c r="L210" s="49" t="s">
        <v>3</v>
      </c>
      <c r="M210" s="47" t="s">
        <v>4</v>
      </c>
      <c r="N210" s="204" t="s">
        <v>5</v>
      </c>
    </row>
    <row r="211" spans="1:14" x14ac:dyDescent="0.35">
      <c r="A211" s="99" t="s">
        <v>193</v>
      </c>
      <c r="B211" s="100"/>
      <c r="C211" s="101" t="str">
        <f t="shared" ref="C211:E211" si="84">IF(COUNT(C212:C215)&gt;0,SUM(C212:C215),":")</f>
        <v>:</v>
      </c>
      <c r="D211" s="102" t="str">
        <f t="shared" si="84"/>
        <v>:</v>
      </c>
      <c r="E211" s="103" t="str">
        <f t="shared" si="84"/>
        <v>:</v>
      </c>
      <c r="F211" s="101" t="str">
        <f t="shared" ref="F211:K211" si="85">IF(COUNT(F212:F215)&gt;0,SUM(F212:F215),":")</f>
        <v>:</v>
      </c>
      <c r="G211" s="102" t="str">
        <f t="shared" si="85"/>
        <v>:</v>
      </c>
      <c r="H211" s="103" t="str">
        <f t="shared" si="85"/>
        <v>:</v>
      </c>
      <c r="I211" s="101" t="str">
        <f t="shared" si="85"/>
        <v>:</v>
      </c>
      <c r="J211" s="102" t="str">
        <f t="shared" si="85"/>
        <v>:</v>
      </c>
      <c r="K211" s="103" t="str">
        <f t="shared" si="85"/>
        <v>:</v>
      </c>
      <c r="L211" s="101" t="str">
        <f t="shared" ref="L211:N211" si="86">IF(COUNT(L212:L215)&gt;0,SUM(L212:L215),":")</f>
        <v>:</v>
      </c>
      <c r="M211" s="102" t="str">
        <f t="shared" si="86"/>
        <v>:</v>
      </c>
      <c r="N211" s="103" t="str">
        <f t="shared" si="86"/>
        <v>:</v>
      </c>
    </row>
    <row r="212" spans="1:14" outlineLevel="1" x14ac:dyDescent="0.35">
      <c r="A212" s="50"/>
      <c r="B212" s="60" t="s">
        <v>15</v>
      </c>
      <c r="C212" s="52" t="str">
        <f>IFERROR(HLOOKUP($B212,FUT_12_Train_Tot,Age15_29, FALSE)/(HLOOKUP("Total",FUT_12_Train_Tot,Age15_29, FALSE)-HLOOKUP("Not applicable",FUT_12_Train_Tot,Age15_29, FALSE)),":")</f>
        <v>:</v>
      </c>
      <c r="D212" s="53" t="str">
        <f>IFERROR(HLOOKUP($B212,FUT_12_Train_Men,Age15_29, FALSE)/(HLOOKUP("Total",FUT_12_Train_Men,Age15_29, FALSE)-HLOOKUP("Not applicable",FUT_12_Train_Men,Age15_29, FALSE)),":")</f>
        <v>:</v>
      </c>
      <c r="E212" s="54" t="str">
        <f>IFERROR(HLOOKUP($B212,FUT_12_Train_Women,Age15_29, FALSE)/(HLOOKUP("Total",FUT_12_Train_Women,Age15_29, FALSE)-HLOOKUP("Not applicable",FUT_12_Train_Women,Age15_29, FALSE)),":")</f>
        <v>:</v>
      </c>
      <c r="F212" s="52" t="str">
        <f>IFERROR(HLOOKUP($B212,FUT_12_Train_Tot,Age15_19, FALSE)/(HLOOKUP("Total",FUT_12_Train_Tot,Age15_19, FALSE)-HLOOKUP("Not applicable",FUT_12_Train_Tot,Age15_19, FALSE)),":")</f>
        <v>:</v>
      </c>
      <c r="G212" s="53" t="str">
        <f>IFERROR(HLOOKUP($B212,FUT_12_Train_Men,Age15_19, FALSE)/(HLOOKUP("Total",FUT_12_Train_Men,Age15_19, FALSE)-HLOOKUP("Not applicable",FUT_12_Train_Men,Age15_19, FALSE)),":")</f>
        <v>:</v>
      </c>
      <c r="H212" s="54" t="str">
        <f>IFERROR(HLOOKUP($B212,FUT_12_Train_Women,Age15_19, FALSE)/(HLOOKUP("Total",FUT_12_Train_Women,Age15_19, FALSE)-HLOOKUP("Not applicable",FUT_12_Train_Women,Age15_19, FALSE)),":")</f>
        <v>:</v>
      </c>
      <c r="I212" s="52" t="str">
        <f>IFERROR(HLOOKUP($B212,FUT_12_Train_Tot,Age20_24, FALSE)/(HLOOKUP("Total",FUT_12_Train_Tot,Age20_24, FALSE)-HLOOKUP("Not applicable",FUT_12_Train_Tot,Age20_24, FALSE)),":")</f>
        <v>:</v>
      </c>
      <c r="J212" s="53" t="str">
        <f>IFERROR(HLOOKUP($B212,FUT_12_Train_Men,Age20_24, FALSE)/(HLOOKUP("Total",FUT_12_Train_Men,Age20_24, FALSE)-HLOOKUP("Not applicable",FUT_12_Train_Men,Age20_24, FALSE)),":")</f>
        <v>:</v>
      </c>
      <c r="K212" s="54" t="str">
        <f>IFERROR(HLOOKUP($B212,FUT_12_Train_Women,Age20_24, FALSE)/(HLOOKUP("Total",FUT_12_Train_Women,Age20_24, FALSE)-HLOOKUP("Not applicable",FUT_12_Train_Women,Age20_24, FALSE)),":")</f>
        <v>:</v>
      </c>
      <c r="L212" s="52" t="str">
        <f>IFERROR(HLOOKUP($B212,FUT_12_Train_Tot,Age25_29, FALSE)/(HLOOKUP("Total",FUT_12_Train_Tot,Age25_29, FALSE)-HLOOKUP("Not applicable",FUT_12_Train_Tot,Age25_29, FALSE)),":")</f>
        <v>:</v>
      </c>
      <c r="M212" s="53" t="str">
        <f>IFERROR(HLOOKUP($B212,FUT_12_Train_Men,Age25_29, FALSE)/(HLOOKUP("Total",FUT_12_Train_Men,Age25_29, FALSE)-HLOOKUP("Not applicable",FUT_12_Train_Men,Age25_29, FALSE)),":")</f>
        <v>:</v>
      </c>
      <c r="N212" s="54" t="str">
        <f>IFERROR(HLOOKUP($B212,FUT_12_Train_Women,Age25_29, FALSE)/(HLOOKUP("Total",FUT_12_Train_Women,Age25_29, FALSE)-HLOOKUP("Not applicable",FUT_12_Train_Women,Age25_29, FALSE)),":")</f>
        <v>:</v>
      </c>
    </row>
    <row r="213" spans="1:14" outlineLevel="1" x14ac:dyDescent="0.35">
      <c r="A213" s="50"/>
      <c r="B213" s="60" t="s">
        <v>16</v>
      </c>
      <c r="C213" s="52" t="str">
        <f>IFERROR(HLOOKUP($B213,FUT_12_Train_Tot,Age15_29, FALSE)/(HLOOKUP("Total",FUT_12_Train_Tot,Age15_29, FALSE)-HLOOKUP("Not applicable",FUT_12_Train_Tot,Age15_29, FALSE)),":")</f>
        <v>:</v>
      </c>
      <c r="D213" s="53" t="str">
        <f>IFERROR(HLOOKUP($B213,FUT_12_Train_Men,Age15_29, FALSE)/(HLOOKUP("Total",FUT_12_Train_Men,Age15_29, FALSE)-HLOOKUP("Not applicable",FUT_12_Train_Men,Age15_29, FALSE)),":")</f>
        <v>:</v>
      </c>
      <c r="E213" s="54" t="str">
        <f>IFERROR(HLOOKUP($B213,FUT_12_Train_Women,Age15_29, FALSE)/(HLOOKUP("Total",FUT_12_Train_Women,Age15_29, FALSE)-HLOOKUP("Not applicable",FUT_12_Train_Women,Age15_29, FALSE)),":")</f>
        <v>:</v>
      </c>
      <c r="F213" s="52" t="str">
        <f>IFERROR(HLOOKUP($B213,FUT_12_Train_Tot,Age15_19, FALSE)/(HLOOKUP("Total",FUT_12_Train_Tot,Age15_19, FALSE)-HLOOKUP("Not applicable",FUT_12_Train_Tot,Age15_19, FALSE)),":")</f>
        <v>:</v>
      </c>
      <c r="G213" s="53" t="str">
        <f>IFERROR(HLOOKUP($B213,FUT_12_Train_Men,Age15_19, FALSE)/(HLOOKUP("Total",FUT_12_Train_Men,Age15_19, FALSE)-HLOOKUP("Not applicable",FUT_12_Train_Men,Age15_19, FALSE)),":")</f>
        <v>:</v>
      </c>
      <c r="H213" s="54" t="str">
        <f>IFERROR(HLOOKUP($B213,FUT_12_Train_Women,Age15_19, FALSE)/(HLOOKUP("Total",FUT_12_Train_Women,Age15_19, FALSE)-HLOOKUP("Not applicable",FUT_12_Train_Women,Age15_19, FALSE)),":")</f>
        <v>:</v>
      </c>
      <c r="I213" s="52" t="str">
        <f>IFERROR(HLOOKUP($B213,FUT_12_Train_Tot,Age20_24, FALSE)/(HLOOKUP("Total",FUT_12_Train_Tot,Age20_24, FALSE)-HLOOKUP("Not applicable",FUT_12_Train_Tot,Age20_24, FALSE)),":")</f>
        <v>:</v>
      </c>
      <c r="J213" s="53" t="str">
        <f>IFERROR(HLOOKUP($B213,FUT_12_Train_Men,Age20_24, FALSE)/(HLOOKUP("Total",FUT_12_Train_Men,Age20_24, FALSE)-HLOOKUP("Not applicable",FUT_12_Train_Men,Age20_24, FALSE)),":")</f>
        <v>:</v>
      </c>
      <c r="K213" s="54" t="str">
        <f>IFERROR(HLOOKUP($B213,FUT_12_Train_Women,Age20_24, FALSE)/(HLOOKUP("Total",FUT_12_Train_Women,Age20_24, FALSE)-HLOOKUP("Not applicable",FUT_12_Train_Women,Age20_24, FALSE)),":")</f>
        <v>:</v>
      </c>
      <c r="L213" s="52" t="str">
        <f>IFERROR(HLOOKUP($B213,FUT_12_Train_Tot,Age25_29, FALSE)/(HLOOKUP("Total",FUT_12_Train_Tot,Age25_29, FALSE)-HLOOKUP("Not applicable",FUT_12_Train_Tot,Age25_29, FALSE)),":")</f>
        <v>:</v>
      </c>
      <c r="M213" s="53" t="str">
        <f>IFERROR(HLOOKUP($B213,FUT_12_Train_Men,Age25_29, FALSE)/(HLOOKUP("Total",FUT_12_Train_Men,Age25_29, FALSE)-HLOOKUP("Not applicable",FUT_12_Train_Men,Age25_29, FALSE)),":")</f>
        <v>:</v>
      </c>
      <c r="N213" s="54" t="str">
        <f>IFERROR(HLOOKUP($B213,FUT_12_Train_Women,Age25_29, FALSE)/(HLOOKUP("Total",FUT_12_Train_Women,Age25_29, FALSE)-HLOOKUP("Not applicable",FUT_12_Train_Women,Age25_29, FALSE)),":")</f>
        <v>:</v>
      </c>
    </row>
    <row r="214" spans="1:14" outlineLevel="1" x14ac:dyDescent="0.35">
      <c r="A214" s="50"/>
      <c r="B214" s="60" t="s">
        <v>17</v>
      </c>
      <c r="C214" s="52" t="str">
        <f>IFERROR(HLOOKUP($B214,FUT_12_Train_Tot,Age15_29, FALSE)/(HLOOKUP("Total",FUT_12_Train_Tot,Age15_29, FALSE)-HLOOKUP("Not applicable",FUT_12_Train_Tot,Age15_29, FALSE)),":")</f>
        <v>:</v>
      </c>
      <c r="D214" s="53" t="str">
        <f>IFERROR(HLOOKUP($B214,FUT_12_Train_Men,Age15_29, FALSE)/(HLOOKUP("Total",FUT_12_Train_Men,Age15_29, FALSE)-HLOOKUP("Not applicable",FUT_12_Train_Men,Age15_29, FALSE)),":")</f>
        <v>:</v>
      </c>
      <c r="E214" s="54" t="str">
        <f>IFERROR(HLOOKUP($B214,FUT_12_Train_Women,Age15_29, FALSE)/(HLOOKUP("Total",FUT_12_Train_Women,Age15_29, FALSE)-HLOOKUP("Not applicable",FUT_12_Train_Women,Age15_29, FALSE)),":")</f>
        <v>:</v>
      </c>
      <c r="F214" s="52" t="str">
        <f>IFERROR(HLOOKUP($B214,FUT_12_Train_Tot,Age15_19, FALSE)/(HLOOKUP("Total",FUT_12_Train_Tot,Age15_19, FALSE)-HLOOKUP("Not applicable",FUT_12_Train_Tot,Age15_19, FALSE)),":")</f>
        <v>:</v>
      </c>
      <c r="G214" s="53" t="str">
        <f>IFERROR(HLOOKUP($B214,FUT_12_Train_Men,Age15_19, FALSE)/(HLOOKUP("Total",FUT_12_Train_Men,Age15_19, FALSE)-HLOOKUP("Not applicable",FUT_12_Train_Men,Age15_19, FALSE)),":")</f>
        <v>:</v>
      </c>
      <c r="H214" s="54" t="str">
        <f>IFERROR(HLOOKUP($B214,FUT_12_Train_Women,Age15_19, FALSE)/(HLOOKUP("Total",FUT_12_Train_Women,Age15_19, FALSE)-HLOOKUP("Not applicable",FUT_12_Train_Women,Age15_19, FALSE)),":")</f>
        <v>:</v>
      </c>
      <c r="I214" s="52" t="str">
        <f>IFERROR(HLOOKUP($B214,FUT_12_Train_Tot,Age20_24, FALSE)/(HLOOKUP("Total",FUT_12_Train_Tot,Age20_24, FALSE)-HLOOKUP("Not applicable",FUT_12_Train_Tot,Age20_24, FALSE)),":")</f>
        <v>:</v>
      </c>
      <c r="J214" s="53" t="str">
        <f>IFERROR(HLOOKUP($B214,FUT_12_Train_Men,Age20_24, FALSE)/(HLOOKUP("Total",FUT_12_Train_Men,Age20_24, FALSE)-HLOOKUP("Not applicable",FUT_12_Train_Men,Age20_24, FALSE)),":")</f>
        <v>:</v>
      </c>
      <c r="K214" s="54" t="str">
        <f>IFERROR(HLOOKUP($B214,FUT_12_Train_Women,Age20_24, FALSE)/(HLOOKUP("Total",FUT_12_Train_Women,Age20_24, FALSE)-HLOOKUP("Not applicable",FUT_12_Train_Women,Age20_24, FALSE)),":")</f>
        <v>:</v>
      </c>
      <c r="L214" s="52" t="str">
        <f>IFERROR(HLOOKUP($B214,FUT_12_Train_Tot,Age25_29, FALSE)/(HLOOKUP("Total",FUT_12_Train_Tot,Age25_29, FALSE)-HLOOKUP("Not applicable",FUT_12_Train_Tot,Age25_29, FALSE)),":")</f>
        <v>:</v>
      </c>
      <c r="M214" s="53" t="str">
        <f>IFERROR(HLOOKUP($B214,FUT_12_Train_Men,Age25_29, FALSE)/(HLOOKUP("Total",FUT_12_Train_Men,Age25_29, FALSE)-HLOOKUP("Not applicable",FUT_12_Train_Men,Age25_29, FALSE)),":")</f>
        <v>:</v>
      </c>
      <c r="N214" s="54" t="str">
        <f>IFERROR(HLOOKUP($B214,FUT_12_Train_Women,Age25_29, FALSE)/(HLOOKUP("Total",FUT_12_Train_Women,Age25_29, FALSE)-HLOOKUP("Not applicable",FUT_12_Train_Women,Age25_29, FALSE)),":")</f>
        <v>:</v>
      </c>
    </row>
    <row r="215" spans="1:14" outlineLevel="1" x14ac:dyDescent="0.35">
      <c r="A215" s="50"/>
      <c r="B215" s="60" t="s">
        <v>18</v>
      </c>
      <c r="C215" s="52" t="str">
        <f>IFERROR(HLOOKUP($B215,FUT_12_Train_Tot,Age15_29, FALSE)/(HLOOKUP("Total",FUT_12_Train_Tot,Age15_29, FALSE)-HLOOKUP("Not applicable",FUT_12_Train_Tot,Age15_29, FALSE)),":")</f>
        <v>:</v>
      </c>
      <c r="D215" s="53" t="str">
        <f>IFERROR(HLOOKUP($B215,FUT_12_Train_Men,Age15_29, FALSE)/(HLOOKUP("Total",FUT_12_Train_Men,Age15_29, FALSE)-HLOOKUP("Not applicable",FUT_12_Train_Men,Age15_29, FALSE)),":")</f>
        <v>:</v>
      </c>
      <c r="E215" s="54" t="str">
        <f>IFERROR(HLOOKUP($B215,FUT_12_Train_Women,Age15_29, FALSE)/(HLOOKUP("Total",FUT_12_Train_Women,Age15_29, FALSE)-HLOOKUP("Not applicable",FUT_12_Train_Women,Age15_29, FALSE)),":")</f>
        <v>:</v>
      </c>
      <c r="F215" s="52" t="str">
        <f>IFERROR(HLOOKUP($B215,FUT_12_Train_Tot,Age15_19, FALSE)/(HLOOKUP("Total",FUT_12_Train_Tot,Age15_19, FALSE)-HLOOKUP("Not applicable",FUT_12_Train_Tot,Age15_19, FALSE)),":")</f>
        <v>:</v>
      </c>
      <c r="G215" s="53" t="str">
        <f>IFERROR(HLOOKUP($B215,FUT_12_Train_Men,Age15_19, FALSE)/(HLOOKUP("Total",FUT_12_Train_Men,Age15_19, FALSE)-HLOOKUP("Not applicable",FUT_12_Train_Men,Age15_19, FALSE)),":")</f>
        <v>:</v>
      </c>
      <c r="H215" s="54" t="str">
        <f>IFERROR(HLOOKUP($B215,FUT_12_Train_Women,Age15_19, FALSE)/(HLOOKUP("Total",FUT_12_Train_Women,Age15_19, FALSE)-HLOOKUP("Not applicable",FUT_12_Train_Women,Age15_19, FALSE)),":")</f>
        <v>:</v>
      </c>
      <c r="I215" s="52" t="str">
        <f>IFERROR(HLOOKUP($B215,FUT_12_Train_Tot,Age20_24, FALSE)/(HLOOKUP("Total",FUT_12_Train_Tot,Age20_24, FALSE)-HLOOKUP("Not applicable",FUT_12_Train_Tot,Age20_24, FALSE)),":")</f>
        <v>:</v>
      </c>
      <c r="J215" s="53" t="str">
        <f>IFERROR(HLOOKUP($B215,FUT_12_Train_Men,Age20_24, FALSE)/(HLOOKUP("Total",FUT_12_Train_Men,Age20_24, FALSE)-HLOOKUP("Not applicable",FUT_12_Train_Men,Age20_24, FALSE)),":")</f>
        <v>:</v>
      </c>
      <c r="K215" s="54" t="str">
        <f>IFERROR(HLOOKUP($B215,FUT_12_Train_Women,Age20_24, FALSE)/(HLOOKUP("Total",FUT_12_Train_Women,Age20_24, FALSE)-HLOOKUP("Not applicable",FUT_12_Train_Women,Age20_24, FALSE)),":")</f>
        <v>:</v>
      </c>
      <c r="L215" s="52" t="str">
        <f>IFERROR(HLOOKUP($B215,FUT_12_Train_Tot,Age25_29, FALSE)/(HLOOKUP("Total",FUT_12_Train_Tot,Age25_29, FALSE)-HLOOKUP("Not applicable",FUT_12_Train_Tot,Age25_29, FALSE)),":")</f>
        <v>:</v>
      </c>
      <c r="M215" s="53" t="str">
        <f>IFERROR(HLOOKUP($B215,FUT_12_Train_Men,Age25_29, FALSE)/(HLOOKUP("Total",FUT_12_Train_Men,Age25_29, FALSE)-HLOOKUP("Not applicable",FUT_12_Train_Men,Age25_29, FALSE)),":")</f>
        <v>:</v>
      </c>
      <c r="N215" s="54" t="str">
        <f>IFERROR(HLOOKUP($B215,FUT_12_Train_Women,Age25_29, FALSE)/(HLOOKUP("Total",FUT_12_Train_Women,Age25_29, FALSE)-HLOOKUP("Not applicable",FUT_12_Train_Women,Age25_29, FALSE)),":")</f>
        <v>:</v>
      </c>
    </row>
    <row r="216" spans="1:14" x14ac:dyDescent="0.35">
      <c r="A216" s="99" t="s">
        <v>194</v>
      </c>
      <c r="B216" s="104"/>
      <c r="C216" s="101" t="str">
        <f t="shared" ref="C216:E216" si="87">IF(COUNT(C217:C218)&gt;0,SUM(C217:C218),":")</f>
        <v>:</v>
      </c>
      <c r="D216" s="102" t="str">
        <f t="shared" si="87"/>
        <v>:</v>
      </c>
      <c r="E216" s="103" t="str">
        <f t="shared" si="87"/>
        <v>:</v>
      </c>
      <c r="F216" s="101" t="str">
        <f t="shared" ref="F216:K216" si="88">IF(COUNT(F217:F218)&gt;0,SUM(F217:F218),":")</f>
        <v>:</v>
      </c>
      <c r="G216" s="102" t="str">
        <f t="shared" si="88"/>
        <v>:</v>
      </c>
      <c r="H216" s="103" t="str">
        <f t="shared" si="88"/>
        <v>:</v>
      </c>
      <c r="I216" s="101" t="str">
        <f t="shared" si="88"/>
        <v>:</v>
      </c>
      <c r="J216" s="102" t="str">
        <f t="shared" si="88"/>
        <v>:</v>
      </c>
      <c r="K216" s="103" t="str">
        <f t="shared" si="88"/>
        <v>:</v>
      </c>
      <c r="L216" s="101" t="str">
        <f t="shared" ref="L216:N216" si="89">IF(COUNT(L217:L218)&gt;0,SUM(L217:L218),":")</f>
        <v>:</v>
      </c>
      <c r="M216" s="102" t="str">
        <f t="shared" si="89"/>
        <v>:</v>
      </c>
      <c r="N216" s="103" t="str">
        <f t="shared" si="89"/>
        <v>:</v>
      </c>
    </row>
    <row r="217" spans="1:14" outlineLevel="1" x14ac:dyDescent="0.35">
      <c r="A217" s="50"/>
      <c r="B217" s="60" t="s">
        <v>20</v>
      </c>
      <c r="C217" s="52" t="str">
        <f>IFERROR(HLOOKUP($B217,FUT_12_Train_Tot,Age15_29, FALSE)/(HLOOKUP("Total",FUT_12_Train_Tot,Age15_29, FALSE)-HLOOKUP("Not applicable",FUT_12_Train_Tot,Age15_29, FALSE)),":")</f>
        <v>:</v>
      </c>
      <c r="D217" s="53" t="str">
        <f>IFERROR(HLOOKUP($B217,FUT_12_Train_Men,Age15_29, FALSE)/(HLOOKUP("Total",FUT_12_Train_Men,Age15_29, FALSE)-HLOOKUP("Not applicable",FUT_12_Train_Men,Age15_29, FALSE)),":")</f>
        <v>:</v>
      </c>
      <c r="E217" s="54" t="str">
        <f>IFERROR(HLOOKUP($B217,FUT_12_Train_Women,Age15_29, FALSE)/(HLOOKUP("Total",FUT_12_Train_Women,Age15_29, FALSE)-HLOOKUP("Not applicable",FUT_12_Train_Women,Age15_29, FALSE)),":")</f>
        <v>:</v>
      </c>
      <c r="F217" s="52" t="str">
        <f>IFERROR(HLOOKUP($B217,FUT_12_Train_Tot,Age15_19, FALSE)/(HLOOKUP("Total",FUT_12_Train_Tot,Age15_19, FALSE)-HLOOKUP("Not applicable",FUT_12_Train_Tot,Age15_19, FALSE)),":")</f>
        <v>:</v>
      </c>
      <c r="G217" s="53" t="str">
        <f>IFERROR(HLOOKUP($B217,FUT_12_Train_Men,Age15_19, FALSE)/(HLOOKUP("Total",FUT_12_Train_Men,Age15_19, FALSE)-HLOOKUP("Not applicable",FUT_12_Train_Men,Age15_19, FALSE)),":")</f>
        <v>:</v>
      </c>
      <c r="H217" s="54" t="str">
        <f>IFERROR(HLOOKUP($B217,FUT_12_Train_Women,Age15_19, FALSE)/(HLOOKUP("Total",FUT_12_Train_Women,Age15_19, FALSE)-HLOOKUP("Not applicable",FUT_12_Train_Women,Age15_19, FALSE)),":")</f>
        <v>:</v>
      </c>
      <c r="I217" s="52" t="str">
        <f>IFERROR(HLOOKUP($B217,FUT_12_Train_Tot,Age20_24, FALSE)/(HLOOKUP("Total",FUT_12_Train_Tot,Age20_24, FALSE)-HLOOKUP("Not applicable",FUT_12_Train_Tot,Age20_24, FALSE)),":")</f>
        <v>:</v>
      </c>
      <c r="J217" s="53" t="str">
        <f>IFERROR(HLOOKUP($B217,FUT_12_Train_Men,Age20_24, FALSE)/(HLOOKUP("Total",FUT_12_Train_Men,Age20_24, FALSE)-HLOOKUP("Not applicable",FUT_12_Train_Men,Age20_24, FALSE)),":")</f>
        <v>:</v>
      </c>
      <c r="K217" s="54" t="str">
        <f>IFERROR(HLOOKUP($B217,FUT_12_Train_Women,Age20_24, FALSE)/(HLOOKUP("Total",FUT_12_Train_Women,Age20_24, FALSE)-HLOOKUP("Not applicable",FUT_12_Train_Women,Age20_24, FALSE)),":")</f>
        <v>:</v>
      </c>
      <c r="L217" s="52" t="str">
        <f>IFERROR(HLOOKUP($B217,FUT_12_Train_Tot,Age25_29, FALSE)/(HLOOKUP("Total",FUT_12_Train_Tot,Age25_29, FALSE)-HLOOKUP("Not applicable",FUT_12_Train_Tot,Age25_29, FALSE)),":")</f>
        <v>:</v>
      </c>
      <c r="M217" s="53" t="str">
        <f>IFERROR(HLOOKUP($B217,FUT_12_Train_Men,Age25_29, FALSE)/(HLOOKUP("Total",FUT_12_Train_Men,Age25_29, FALSE)-HLOOKUP("Not applicable",FUT_12_Train_Men,Age25_29, FALSE)),":")</f>
        <v>:</v>
      </c>
      <c r="N217" s="54" t="str">
        <f>IFERROR(HLOOKUP($B217,FUT_12_Train_Women,Age25_29, FALSE)/(HLOOKUP("Total",FUT_12_Train_Women,Age25_29, FALSE)-HLOOKUP("Not applicable",FUT_12_Train_Women,Age25_29, FALSE)),":")</f>
        <v>:</v>
      </c>
    </row>
    <row r="218" spans="1:14" outlineLevel="1" x14ac:dyDescent="0.35">
      <c r="A218" s="50"/>
      <c r="B218" s="60" t="s">
        <v>100</v>
      </c>
      <c r="C218" s="52" t="str">
        <f>IFERROR(HLOOKUP($B218,FUT_12_Train_Tot,Age15_29, FALSE)/(HLOOKUP("Total",FUT_12_Train_Tot,Age15_29, FALSE)-HLOOKUP("Not applicable",FUT_12_Train_Tot,Age15_29, FALSE)),":")</f>
        <v>:</v>
      </c>
      <c r="D218" s="53" t="str">
        <f>IFERROR(HLOOKUP($B218,FUT_12_Train_Men,Age15_29, FALSE)/(HLOOKUP("Total",FUT_12_Train_Men,Age15_29, FALSE)-HLOOKUP("Not applicable",FUT_12_Train_Men,Age15_29, FALSE)),":")</f>
        <v>:</v>
      </c>
      <c r="E218" s="54" t="str">
        <f>IFERROR(HLOOKUP($B218,FUT_12_Train_Women,Age15_29, FALSE)/(HLOOKUP("Total",FUT_12_Train_Women,Age15_29, FALSE)-HLOOKUP("Not applicable",FUT_12_Train_Women,Age15_29, FALSE)),":")</f>
        <v>:</v>
      </c>
      <c r="F218" s="52" t="str">
        <f>IFERROR(HLOOKUP($B218,FUT_12_Train_Tot,Age15_19, FALSE)/(HLOOKUP("Total",FUT_12_Train_Tot,Age15_19, FALSE)-HLOOKUP("Not applicable",FUT_12_Train_Tot,Age15_19, FALSE)),":")</f>
        <v>:</v>
      </c>
      <c r="G218" s="53" t="str">
        <f>IFERROR(HLOOKUP($B218,FUT_12_Train_Men,Age15_19, FALSE)/(HLOOKUP("Total",FUT_12_Train_Men,Age15_19, FALSE)-HLOOKUP("Not applicable",FUT_12_Train_Men,Age15_19, FALSE)),":")</f>
        <v>:</v>
      </c>
      <c r="H218" s="54" t="str">
        <f>IFERROR(HLOOKUP($B218,FUT_12_Train_Women,Age15_19, FALSE)/(HLOOKUP("Total",FUT_12_Train_Women,Age15_19, FALSE)-HLOOKUP("Not applicable",FUT_12_Train_Women,Age15_19, FALSE)),":")</f>
        <v>:</v>
      </c>
      <c r="I218" s="52" t="str">
        <f>IFERROR(HLOOKUP($B218,FUT_12_Train_Tot,Age20_24, FALSE)/(HLOOKUP("Total",FUT_12_Train_Tot,Age20_24, FALSE)-HLOOKUP("Not applicable",FUT_12_Train_Tot,Age20_24, FALSE)),":")</f>
        <v>:</v>
      </c>
      <c r="J218" s="53" t="str">
        <f>IFERROR(HLOOKUP($B218,FUT_12_Train_Men,Age20_24, FALSE)/(HLOOKUP("Total",FUT_12_Train_Men,Age20_24, FALSE)-HLOOKUP("Not applicable",FUT_12_Train_Men,Age20_24, FALSE)),":")</f>
        <v>:</v>
      </c>
      <c r="K218" s="54" t="str">
        <f>IFERROR(HLOOKUP($B218,FUT_12_Train_Women,Age20_24, FALSE)/(HLOOKUP("Total",FUT_12_Train_Women,Age20_24, FALSE)-HLOOKUP("Not applicable",FUT_12_Train_Women,Age20_24, FALSE)),":")</f>
        <v>:</v>
      </c>
      <c r="L218" s="52" t="str">
        <f>IFERROR(HLOOKUP($B218,FUT_12_Train_Tot,Age25_29, FALSE)/(HLOOKUP("Total",FUT_12_Train_Tot,Age25_29, FALSE)-HLOOKUP("Not applicable",FUT_12_Train_Tot,Age25_29, FALSE)),":")</f>
        <v>:</v>
      </c>
      <c r="M218" s="53" t="str">
        <f>IFERROR(HLOOKUP($B218,FUT_12_Train_Men,Age25_29, FALSE)/(HLOOKUP("Total",FUT_12_Train_Men,Age25_29, FALSE)-HLOOKUP("Not applicable",FUT_12_Train_Men,Age25_29, FALSE)),":")</f>
        <v>:</v>
      </c>
      <c r="N218" s="54" t="str">
        <f>IFERROR(HLOOKUP($B218,FUT_12_Train_Women,Age25_29, FALSE)/(HLOOKUP("Total",FUT_12_Train_Women,Age25_29, FALSE)-HLOOKUP("Not applicable",FUT_12_Train_Women,Age25_29, FALSE)),":")</f>
        <v>:</v>
      </c>
    </row>
    <row r="219" spans="1:14" ht="15" thickBot="1" x14ac:dyDescent="0.4">
      <c r="A219" s="105" t="s">
        <v>21</v>
      </c>
      <c r="B219" s="106"/>
      <c r="C219" s="107" t="str">
        <f>IFERROR(HLOOKUP($A219,FUT_12_Train_Tot,Age15_29, FALSE)/(HLOOKUP("Total",FUT_12_Train_Tot,Age15_29, FALSE)-HLOOKUP("Not applicable",FUT_12_Train_Tot,Age15_29, FALSE)),":")</f>
        <v>:</v>
      </c>
      <c r="D219" s="108" t="str">
        <f>IFERROR(HLOOKUP($A219,FUT_12_Train_Men,Age15_29, FALSE)/(HLOOKUP("Total",FUT_12_Train_Men,Age15_29, FALSE)-HLOOKUP("Not applicable",FUT_12_Train_Men,Age15_29, FALSE)),":")</f>
        <v>:</v>
      </c>
      <c r="E219" s="109" t="str">
        <f>IFERROR(HLOOKUP($A219,FUT_12_Train_Women,Age15_29, FALSE)/(HLOOKUP("Total",FUT_12_Train_Women,Age15_29, FALSE)-HLOOKUP("Not applicable",FUT_12_Train_Women,Age15_29, FALSE)),":")</f>
        <v>:</v>
      </c>
      <c r="F219" s="107" t="str">
        <f>IFERROR(HLOOKUP($A219,FUT_12_Train_Tot,Age15_19, FALSE)/(HLOOKUP("Total",FUT_12_Train_Tot,Age15_19, FALSE)-HLOOKUP("Not applicable",FUT_12_Train_Tot,Age15_19, FALSE)),":")</f>
        <v>:</v>
      </c>
      <c r="G219" s="108" t="str">
        <f>IFERROR(HLOOKUP($A219,FUT_12_Train_Men,Age15_19, FALSE)/(HLOOKUP("Total",FUT_12_Train_Men,Age15_19, FALSE)-HLOOKUP("Not applicable",FUT_12_Train_Men,Age15_19, FALSE)),":")</f>
        <v>:</v>
      </c>
      <c r="H219" s="109" t="str">
        <f>IFERROR(HLOOKUP($A219,FUT_12_Train_Women,Age15_19, FALSE)/(HLOOKUP("Total",FUT_12_Train_Women,Age15_19, FALSE)-HLOOKUP("Not applicable",FUT_12_Train_Women,Age15_19, FALSE)),":")</f>
        <v>:</v>
      </c>
      <c r="I219" s="107" t="str">
        <f>IFERROR(HLOOKUP($A219,FUT_12_Train_Tot,Age20_24, FALSE)/(HLOOKUP("Total",FUT_12_Train_Tot,Age20_24, FALSE)-HLOOKUP("Not applicable",FUT_12_Train_Tot,Age20_24, FALSE)),":")</f>
        <v>:</v>
      </c>
      <c r="J219" s="108" t="str">
        <f>IFERROR(HLOOKUP($A219,FUT_12_Train_Men,Age20_24, FALSE)/(HLOOKUP("Total",FUT_12_Train_Men,Age20_24, FALSE)-HLOOKUP("Not applicable",FUT_12_Train_Men,Age20_24, FALSE)),":")</f>
        <v>:</v>
      </c>
      <c r="K219" s="109" t="str">
        <f>IFERROR(HLOOKUP($A219,FUT_12_Train_Women,Age20_24, FALSE)/(HLOOKUP("Total",FUT_12_Train_Women,Age20_24, FALSE)-HLOOKUP("Not applicable",FUT_12_Train_Women,Age20_24, FALSE)),":")</f>
        <v>:</v>
      </c>
      <c r="L219" s="107" t="str">
        <f>IFERROR(HLOOKUP($A219,FUT_12_Train_Tot,Age25_29, FALSE)/(HLOOKUP("Total",FUT_12_Train_Tot,Age25_29, FALSE)-HLOOKUP("Not applicable",FUT_12_Train_Tot,Age25_29, FALSE)),":")</f>
        <v>:</v>
      </c>
      <c r="M219" s="108" t="str">
        <f>IFERROR(HLOOKUP($A219,FUT_12_Train_Men,Age25_29, FALSE)/(HLOOKUP("Total",FUT_12_Train_Men,Age25_29, FALSE)-HLOOKUP("Not applicable",FUT_12_Train_Men,Age25_29, FALSE)),":")</f>
        <v>:</v>
      </c>
      <c r="N219" s="109" t="str">
        <f>IFERROR(HLOOKUP($A219,FUT_12_Train_Women,Age25_29, FALSE)/(HLOOKUP("Total",FUT_12_Train_Women,Age25_29, FALSE)-HLOOKUP("Not applicable",FUT_12_Train_Women,Age25_29, FALSE)),":")</f>
        <v>:</v>
      </c>
    </row>
    <row r="220" spans="1:14" ht="15.5" thickTop="1" thickBot="1" x14ac:dyDescent="0.4"/>
    <row r="221" spans="1:14" ht="15.75" customHeight="1" thickTop="1" x14ac:dyDescent="0.35">
      <c r="A221" s="361" t="s">
        <v>197</v>
      </c>
      <c r="B221" s="369"/>
      <c r="C221" s="365" t="s">
        <v>240</v>
      </c>
      <c r="D221" s="366"/>
      <c r="E221" s="367"/>
      <c r="F221" s="365" t="s">
        <v>11</v>
      </c>
      <c r="G221" s="366"/>
      <c r="H221" s="367"/>
      <c r="I221" s="368" t="s">
        <v>13</v>
      </c>
      <c r="J221" s="366"/>
      <c r="K221" s="367"/>
      <c r="L221" s="365" t="s">
        <v>239</v>
      </c>
      <c r="M221" s="366"/>
      <c r="N221" s="373"/>
    </row>
    <row r="222" spans="1:14" x14ac:dyDescent="0.35">
      <c r="A222" s="363"/>
      <c r="B222" s="370"/>
      <c r="C222" s="49" t="s">
        <v>3</v>
      </c>
      <c r="D222" s="47" t="s">
        <v>4</v>
      </c>
      <c r="E222" s="48" t="s">
        <v>5</v>
      </c>
      <c r="F222" s="49" t="s">
        <v>3</v>
      </c>
      <c r="G222" s="47" t="s">
        <v>4</v>
      </c>
      <c r="H222" s="48" t="s">
        <v>5</v>
      </c>
      <c r="I222" s="46" t="s">
        <v>3</v>
      </c>
      <c r="J222" s="47" t="s">
        <v>4</v>
      </c>
      <c r="K222" s="48" t="s">
        <v>5</v>
      </c>
      <c r="L222" s="49" t="s">
        <v>3</v>
      </c>
      <c r="M222" s="47" t="s">
        <v>4</v>
      </c>
      <c r="N222" s="204" t="s">
        <v>5</v>
      </c>
    </row>
    <row r="223" spans="1:14" x14ac:dyDescent="0.35">
      <c r="A223" s="99" t="s">
        <v>193</v>
      </c>
      <c r="B223" s="100"/>
      <c r="C223" s="101" t="str">
        <f t="shared" ref="C223:E223" si="90">IF(COUNT(C224:C227)&gt;0,SUM(C224:C227),":")</f>
        <v>:</v>
      </c>
      <c r="D223" s="102" t="str">
        <f t="shared" si="90"/>
        <v>:</v>
      </c>
      <c r="E223" s="103" t="str">
        <f t="shared" si="90"/>
        <v>:</v>
      </c>
      <c r="F223" s="101" t="str">
        <f t="shared" ref="F223:K223" si="91">IF(COUNT(F224:F227)&gt;0,SUM(F224:F227),":")</f>
        <v>:</v>
      </c>
      <c r="G223" s="102" t="str">
        <f t="shared" si="91"/>
        <v>:</v>
      </c>
      <c r="H223" s="103" t="str">
        <f t="shared" si="91"/>
        <v>:</v>
      </c>
      <c r="I223" s="101" t="str">
        <f t="shared" si="91"/>
        <v>:</v>
      </c>
      <c r="J223" s="102" t="str">
        <f t="shared" si="91"/>
        <v>:</v>
      </c>
      <c r="K223" s="103" t="str">
        <f t="shared" si="91"/>
        <v>:</v>
      </c>
      <c r="L223" s="101" t="str">
        <f t="shared" ref="L223:N223" si="92">IF(COUNT(L224:L227)&gt;0,SUM(L224:L227),":")</f>
        <v>:</v>
      </c>
      <c r="M223" s="102" t="str">
        <f t="shared" si="92"/>
        <v>:</v>
      </c>
      <c r="N223" s="103" t="str">
        <f t="shared" si="92"/>
        <v>:</v>
      </c>
    </row>
    <row r="224" spans="1:14" outlineLevel="1" x14ac:dyDescent="0.35">
      <c r="A224" s="50"/>
      <c r="B224" s="60" t="s">
        <v>15</v>
      </c>
      <c r="C224" s="52" t="str">
        <f>IFERROR(HLOOKUP($B224,FUT_18_Train_Tot,Age15_29, FALSE)/(HLOOKUP("Total",FUT_18_Train_Tot,Age15_29, FALSE)-HLOOKUP("Not applicable",FUT_18_Train_Tot,Age15_29, FALSE)),":")</f>
        <v>:</v>
      </c>
      <c r="D224" s="53" t="str">
        <f>IFERROR(HLOOKUP($B224,FUT_18_Train_Men,Age15_29, FALSE)/(HLOOKUP("Total",FUT_18_Train_Men,Age15_29, FALSE)-HLOOKUP("Not applicable",FUT_18_Train_Men,Age15_29, FALSE)),":")</f>
        <v>:</v>
      </c>
      <c r="E224" s="54" t="str">
        <f>IFERROR(HLOOKUP($B224,FUT_18_Train_Women,Age15_29, FALSE)/(HLOOKUP("Total",FUT_18_Train_Women,Age15_29, FALSE)-HLOOKUP("Not applicable",FUT_18_Train_Women,Age15_29, FALSE)),":")</f>
        <v>:</v>
      </c>
      <c r="F224" s="52" t="str">
        <f>IFERROR(HLOOKUP($B224,FUT_18_Train_Tot,Age15_19, FALSE)/(HLOOKUP("Total",FUT_18_Train_Tot,Age15_19, FALSE)-HLOOKUP("Not applicable",FUT_18_Train_Tot,Age15_19, FALSE)),":")</f>
        <v>:</v>
      </c>
      <c r="G224" s="53" t="str">
        <f>IFERROR(HLOOKUP($B224,FUT_18_Train_Men,Age15_19, FALSE)/(HLOOKUP("Total",FUT_18_Train_Men,Age15_19, FALSE)-HLOOKUP("Not applicable",FUT_18_Train_Men,Age15_19, FALSE)),":")</f>
        <v>:</v>
      </c>
      <c r="H224" s="54" t="str">
        <f>IFERROR(HLOOKUP($B224,FUT_18_Train_Women,Age15_19, FALSE)/(HLOOKUP("Total",FUT_18_Train_Women,Age15_19, FALSE)-HLOOKUP("Not applicable",FUT_18_Train_Women,Age15_19, FALSE)),":")</f>
        <v>:</v>
      </c>
      <c r="I224" s="52" t="str">
        <f>IFERROR(HLOOKUP($B224,FUT_18_Train_Tot,Age20_24, FALSE)/(HLOOKUP("Total",FUT_18_Train_Tot,Age20_24, FALSE)-HLOOKUP("Not applicable",FUT_18_Train_Tot,Age20_24, FALSE)),":")</f>
        <v>:</v>
      </c>
      <c r="J224" s="53" t="str">
        <f>IFERROR(HLOOKUP($B224,FUT_18_Train_Men,Age20_24, FALSE)/(HLOOKUP("Total",FUT_18_Train_Men,Age20_24, FALSE)-HLOOKUP("Not applicable",FUT_18_Train_Men,Age20_24, FALSE)),":")</f>
        <v>:</v>
      </c>
      <c r="K224" s="54" t="str">
        <f>IFERROR(HLOOKUP($B224,FUT_18_Train_Women,Age20_24, FALSE)/(HLOOKUP("Total",FUT_18_Train_Women,Age20_24, FALSE)-HLOOKUP("Not applicable",FUT_18_Train_Women,Age20_24, FALSE)),":")</f>
        <v>:</v>
      </c>
      <c r="L224" s="52" t="str">
        <f>IFERROR(HLOOKUP($B224,FUT_18_Train_Tot,Age25_29, FALSE)/(HLOOKUP("Total",FUT_18_Train_Tot,Age25_29, FALSE)-HLOOKUP("Not applicable",FUT_18_Train_Tot,Age25_29, FALSE)),":")</f>
        <v>:</v>
      </c>
      <c r="M224" s="53" t="str">
        <f>IFERROR(HLOOKUP($B224,FUT_18_Train_Men,Age25_29, FALSE)/(HLOOKUP("Total",FUT_18_Train_Men,Age25_29, FALSE)-HLOOKUP("Not applicable",FUT_18_Train_Men,Age25_29, FALSE)),":")</f>
        <v>:</v>
      </c>
      <c r="N224" s="54" t="str">
        <f>IFERROR(HLOOKUP($B224,FUT_18_Train_Women,Age25_29, FALSE)/(HLOOKUP("Total",FUT_18_Train_Women,Age25_29, FALSE)-HLOOKUP("Not applicable",FUT_18_Train_Women,Age25_29, FALSE)),":")</f>
        <v>:</v>
      </c>
    </row>
    <row r="225" spans="1:14" outlineLevel="1" x14ac:dyDescent="0.35">
      <c r="A225" s="50"/>
      <c r="B225" s="60" t="s">
        <v>16</v>
      </c>
      <c r="C225" s="52" t="str">
        <f>IFERROR(HLOOKUP($B225,FUT_18_Train_Tot,Age15_29, FALSE)/(HLOOKUP("Total",FUT_18_Train_Tot,Age15_29, FALSE)-HLOOKUP("Not applicable",FUT_18_Train_Tot,Age15_29, FALSE)),":")</f>
        <v>:</v>
      </c>
      <c r="D225" s="53" t="str">
        <f>IFERROR(HLOOKUP($B225,FUT_18_Train_Men,Age15_29, FALSE)/(HLOOKUP("Total",FUT_18_Train_Men,Age15_29, FALSE)-HLOOKUP("Not applicable",FUT_18_Train_Men,Age15_29, FALSE)),":")</f>
        <v>:</v>
      </c>
      <c r="E225" s="54" t="str">
        <f>IFERROR(HLOOKUP($B225,FUT_18_Train_Women,Age15_29, FALSE)/(HLOOKUP("Total",FUT_18_Train_Women,Age15_29, FALSE)-HLOOKUP("Not applicable",FUT_18_Train_Women,Age15_29, FALSE)),":")</f>
        <v>:</v>
      </c>
      <c r="F225" s="52" t="str">
        <f>IFERROR(HLOOKUP($B225,FUT_18_Train_Tot,Age15_19, FALSE)/(HLOOKUP("Total",FUT_18_Train_Tot,Age15_19, FALSE)-HLOOKUP("Not applicable",FUT_18_Train_Tot,Age15_19, FALSE)),":")</f>
        <v>:</v>
      </c>
      <c r="G225" s="53" t="str">
        <f>IFERROR(HLOOKUP($B225,FUT_18_Train_Men,Age15_19, FALSE)/(HLOOKUP("Total",FUT_18_Train_Men,Age15_19, FALSE)-HLOOKUP("Not applicable",FUT_18_Train_Men,Age15_19, FALSE)),":")</f>
        <v>:</v>
      </c>
      <c r="H225" s="54" t="str">
        <f>IFERROR(HLOOKUP($B225,FUT_18_Train_Women,Age15_19, FALSE)/(HLOOKUP("Total",FUT_18_Train_Women,Age15_19, FALSE)-HLOOKUP("Not applicable",FUT_18_Train_Women,Age15_19, FALSE)),":")</f>
        <v>:</v>
      </c>
      <c r="I225" s="52" t="str">
        <f>IFERROR(HLOOKUP($B225,FUT_18_Train_Tot,Age20_24, FALSE)/(HLOOKUP("Total",FUT_18_Train_Tot,Age20_24, FALSE)-HLOOKUP("Not applicable",FUT_18_Train_Tot,Age20_24, FALSE)),":")</f>
        <v>:</v>
      </c>
      <c r="J225" s="53" t="str">
        <f>IFERROR(HLOOKUP($B225,FUT_18_Train_Men,Age20_24, FALSE)/(HLOOKUP("Total",FUT_18_Train_Men,Age20_24, FALSE)-HLOOKUP("Not applicable",FUT_18_Train_Men,Age20_24, FALSE)),":")</f>
        <v>:</v>
      </c>
      <c r="K225" s="54" t="str">
        <f>IFERROR(HLOOKUP($B225,FUT_18_Train_Women,Age20_24, FALSE)/(HLOOKUP("Total",FUT_18_Train_Women,Age20_24, FALSE)-HLOOKUP("Not applicable",FUT_18_Train_Women,Age20_24, FALSE)),":")</f>
        <v>:</v>
      </c>
      <c r="L225" s="52" t="str">
        <f>IFERROR(HLOOKUP($B225,FUT_18_Train_Tot,Age25_29, FALSE)/(HLOOKUP("Total",FUT_18_Train_Tot,Age25_29, FALSE)-HLOOKUP("Not applicable",FUT_18_Train_Tot,Age25_29, FALSE)),":")</f>
        <v>:</v>
      </c>
      <c r="M225" s="53" t="str">
        <f>IFERROR(HLOOKUP($B225,FUT_18_Train_Men,Age25_29, FALSE)/(HLOOKUP("Total",FUT_18_Train_Men,Age25_29, FALSE)-HLOOKUP("Not applicable",FUT_18_Train_Men,Age25_29, FALSE)),":")</f>
        <v>:</v>
      </c>
      <c r="N225" s="54" t="str">
        <f>IFERROR(HLOOKUP($B225,FUT_18_Train_Women,Age25_29, FALSE)/(HLOOKUP("Total",FUT_18_Train_Women,Age25_29, FALSE)-HLOOKUP("Not applicable",FUT_18_Train_Women,Age25_29, FALSE)),":")</f>
        <v>:</v>
      </c>
    </row>
    <row r="226" spans="1:14" outlineLevel="1" x14ac:dyDescent="0.35">
      <c r="A226" s="50"/>
      <c r="B226" s="60" t="s">
        <v>17</v>
      </c>
      <c r="C226" s="52" t="str">
        <f>IFERROR(HLOOKUP($B226,FUT_18_Train_Tot,Age15_29, FALSE)/(HLOOKUP("Total",FUT_18_Train_Tot,Age15_29, FALSE)-HLOOKUP("Not applicable",FUT_18_Train_Tot,Age15_29, FALSE)),":")</f>
        <v>:</v>
      </c>
      <c r="D226" s="53" t="str">
        <f>IFERROR(HLOOKUP($B226,FUT_18_Train_Men,Age15_29, FALSE)/(HLOOKUP("Total",FUT_18_Train_Men,Age15_29, FALSE)-HLOOKUP("Not applicable",FUT_18_Train_Men,Age15_29, FALSE)),":")</f>
        <v>:</v>
      </c>
      <c r="E226" s="54" t="str">
        <f>IFERROR(HLOOKUP($B226,FUT_18_Train_Women,Age15_29, FALSE)/(HLOOKUP("Total",FUT_18_Train_Women,Age15_29, FALSE)-HLOOKUP("Not applicable",FUT_18_Train_Women,Age15_29, FALSE)),":")</f>
        <v>:</v>
      </c>
      <c r="F226" s="52" t="str">
        <f>IFERROR(HLOOKUP($B226,FUT_18_Train_Tot,Age15_19, FALSE)/(HLOOKUP("Total",FUT_18_Train_Tot,Age15_19, FALSE)-HLOOKUP("Not applicable",FUT_18_Train_Tot,Age15_19, FALSE)),":")</f>
        <v>:</v>
      </c>
      <c r="G226" s="53" t="str">
        <f>IFERROR(HLOOKUP($B226,FUT_18_Train_Men,Age15_19, FALSE)/(HLOOKUP("Total",FUT_18_Train_Men,Age15_19, FALSE)-HLOOKUP("Not applicable",FUT_18_Train_Men,Age15_19, FALSE)),":")</f>
        <v>:</v>
      </c>
      <c r="H226" s="54" t="str">
        <f>IFERROR(HLOOKUP($B226,FUT_18_Train_Women,Age15_19, FALSE)/(HLOOKUP("Total",FUT_18_Train_Women,Age15_19, FALSE)-HLOOKUP("Not applicable",FUT_18_Train_Women,Age15_19, FALSE)),":")</f>
        <v>:</v>
      </c>
      <c r="I226" s="52" t="str">
        <f>IFERROR(HLOOKUP($B226,FUT_18_Train_Tot,Age20_24, FALSE)/(HLOOKUP("Total",FUT_18_Train_Tot,Age20_24, FALSE)-HLOOKUP("Not applicable",FUT_18_Train_Tot,Age20_24, FALSE)),":")</f>
        <v>:</v>
      </c>
      <c r="J226" s="53" t="str">
        <f>IFERROR(HLOOKUP($B226,FUT_18_Train_Men,Age20_24, FALSE)/(HLOOKUP("Total",FUT_18_Train_Men,Age20_24, FALSE)-HLOOKUP("Not applicable",FUT_18_Train_Men,Age20_24, FALSE)),":")</f>
        <v>:</v>
      </c>
      <c r="K226" s="54" t="str">
        <f>IFERROR(HLOOKUP($B226,FUT_18_Train_Women,Age20_24, FALSE)/(HLOOKUP("Total",FUT_18_Train_Women,Age20_24, FALSE)-HLOOKUP("Not applicable",FUT_18_Train_Women,Age20_24, FALSE)),":")</f>
        <v>:</v>
      </c>
      <c r="L226" s="52" t="str">
        <f>IFERROR(HLOOKUP($B226,FUT_18_Train_Tot,Age25_29, FALSE)/(HLOOKUP("Total",FUT_18_Train_Tot,Age25_29, FALSE)-HLOOKUP("Not applicable",FUT_18_Train_Tot,Age25_29, FALSE)),":")</f>
        <v>:</v>
      </c>
      <c r="M226" s="53" t="str">
        <f>IFERROR(HLOOKUP($B226,FUT_18_Train_Men,Age25_29, FALSE)/(HLOOKUP("Total",FUT_18_Train_Men,Age25_29, FALSE)-HLOOKUP("Not applicable",FUT_18_Train_Men,Age25_29, FALSE)),":")</f>
        <v>:</v>
      </c>
      <c r="N226" s="54" t="str">
        <f>IFERROR(HLOOKUP($B226,FUT_18_Train_Women,Age25_29, FALSE)/(HLOOKUP("Total",FUT_18_Train_Women,Age25_29, FALSE)-HLOOKUP("Not applicable",FUT_18_Train_Women,Age25_29, FALSE)),":")</f>
        <v>:</v>
      </c>
    </row>
    <row r="227" spans="1:14" outlineLevel="1" x14ac:dyDescent="0.35">
      <c r="A227" s="50"/>
      <c r="B227" s="60" t="s">
        <v>18</v>
      </c>
      <c r="C227" s="52" t="str">
        <f>IFERROR(HLOOKUP($B227,FUT_18_Train_Tot,Age15_29, FALSE)/(HLOOKUP("Total",FUT_18_Train_Tot,Age15_29, FALSE)-HLOOKUP("Not applicable",FUT_18_Train_Tot,Age15_29, FALSE)),":")</f>
        <v>:</v>
      </c>
      <c r="D227" s="53" t="str">
        <f>IFERROR(HLOOKUP($B227,FUT_18_Train_Men,Age15_29, FALSE)/(HLOOKUP("Total",FUT_18_Train_Men,Age15_29, FALSE)-HLOOKUP("Not applicable",FUT_18_Train_Men,Age15_29, FALSE)),":")</f>
        <v>:</v>
      </c>
      <c r="E227" s="54" t="str">
        <f>IFERROR(HLOOKUP($B227,FUT_18_Train_Women,Age15_29, FALSE)/(HLOOKUP("Total",FUT_18_Train_Women,Age15_29, FALSE)-HLOOKUP("Not applicable",FUT_18_Train_Women,Age15_29, FALSE)),":")</f>
        <v>:</v>
      </c>
      <c r="F227" s="52" t="str">
        <f>IFERROR(HLOOKUP($B227,FUT_18_Train_Tot,Age15_19, FALSE)/(HLOOKUP("Total",FUT_18_Train_Tot,Age15_19, FALSE)-HLOOKUP("Not applicable",FUT_18_Train_Tot,Age15_19, FALSE)),":")</f>
        <v>:</v>
      </c>
      <c r="G227" s="53" t="str">
        <f>IFERROR(HLOOKUP($B227,FUT_18_Train_Men,Age15_19, FALSE)/(HLOOKUP("Total",FUT_18_Train_Men,Age15_19, FALSE)-HLOOKUP("Not applicable",FUT_18_Train_Men,Age15_19, FALSE)),":")</f>
        <v>:</v>
      </c>
      <c r="H227" s="54" t="str">
        <f>IFERROR(HLOOKUP($B227,FUT_18_Train_Women,Age15_19, FALSE)/(HLOOKUP("Total",FUT_18_Train_Women,Age15_19, FALSE)-HLOOKUP("Not applicable",FUT_18_Train_Women,Age15_19, FALSE)),":")</f>
        <v>:</v>
      </c>
      <c r="I227" s="52" t="str">
        <f>IFERROR(HLOOKUP($B227,FUT_18_Train_Tot,Age20_24, FALSE)/(HLOOKUP("Total",FUT_18_Train_Tot,Age20_24, FALSE)-HLOOKUP("Not applicable",FUT_18_Train_Tot,Age20_24, FALSE)),":")</f>
        <v>:</v>
      </c>
      <c r="J227" s="53" t="str">
        <f>IFERROR(HLOOKUP($B227,FUT_18_Train_Men,Age20_24, FALSE)/(HLOOKUP("Total",FUT_18_Train_Men,Age20_24, FALSE)-HLOOKUP("Not applicable",FUT_18_Train_Men,Age20_24, FALSE)),":")</f>
        <v>:</v>
      </c>
      <c r="K227" s="54" t="str">
        <f>IFERROR(HLOOKUP($B227,FUT_18_Train_Women,Age20_24, FALSE)/(HLOOKUP("Total",FUT_18_Train_Women,Age20_24, FALSE)-HLOOKUP("Not applicable",FUT_18_Train_Women,Age20_24, FALSE)),":")</f>
        <v>:</v>
      </c>
      <c r="L227" s="52" t="str">
        <f>IFERROR(HLOOKUP($B227,FUT_18_Train_Tot,Age25_29, FALSE)/(HLOOKUP("Total",FUT_18_Train_Tot,Age25_29, FALSE)-HLOOKUP("Not applicable",FUT_18_Train_Tot,Age25_29, FALSE)),":")</f>
        <v>:</v>
      </c>
      <c r="M227" s="53" t="str">
        <f>IFERROR(HLOOKUP($B227,FUT_18_Train_Men,Age25_29, FALSE)/(HLOOKUP("Total",FUT_18_Train_Men,Age25_29, FALSE)-HLOOKUP("Not applicable",FUT_18_Train_Men,Age25_29, FALSE)),":")</f>
        <v>:</v>
      </c>
      <c r="N227" s="54" t="str">
        <f>IFERROR(HLOOKUP($B227,FUT_18_Train_Women,Age25_29, FALSE)/(HLOOKUP("Total",FUT_18_Train_Women,Age25_29, FALSE)-HLOOKUP("Not applicable",FUT_18_Train_Women,Age25_29, FALSE)),":")</f>
        <v>:</v>
      </c>
    </row>
    <row r="228" spans="1:14" x14ac:dyDescent="0.35">
      <c r="A228" s="99" t="s">
        <v>194</v>
      </c>
      <c r="B228" s="104"/>
      <c r="C228" s="101" t="str">
        <f t="shared" ref="C228:E228" si="93">IF(COUNT(C229:C230)&gt;0,SUM(C229:C230),":")</f>
        <v>:</v>
      </c>
      <c r="D228" s="102" t="str">
        <f t="shared" si="93"/>
        <v>:</v>
      </c>
      <c r="E228" s="103" t="str">
        <f t="shared" si="93"/>
        <v>:</v>
      </c>
      <c r="F228" s="101" t="str">
        <f t="shared" ref="F228:K228" si="94">IF(COUNT(F229:F230)&gt;0,SUM(F229:F230),":")</f>
        <v>:</v>
      </c>
      <c r="G228" s="102" t="str">
        <f t="shared" si="94"/>
        <v>:</v>
      </c>
      <c r="H228" s="103" t="str">
        <f t="shared" si="94"/>
        <v>:</v>
      </c>
      <c r="I228" s="101" t="str">
        <f t="shared" si="94"/>
        <v>:</v>
      </c>
      <c r="J228" s="102" t="str">
        <f t="shared" si="94"/>
        <v>:</v>
      </c>
      <c r="K228" s="103" t="str">
        <f t="shared" si="94"/>
        <v>:</v>
      </c>
      <c r="L228" s="101" t="str">
        <f t="shared" ref="L228:N228" si="95">IF(COUNT(L229:L230)&gt;0,SUM(L229:L230),":")</f>
        <v>:</v>
      </c>
      <c r="M228" s="102" t="str">
        <f t="shared" si="95"/>
        <v>:</v>
      </c>
      <c r="N228" s="103" t="str">
        <f t="shared" si="95"/>
        <v>:</v>
      </c>
    </row>
    <row r="229" spans="1:14" outlineLevel="1" x14ac:dyDescent="0.35">
      <c r="A229" s="50"/>
      <c r="B229" s="60" t="s">
        <v>20</v>
      </c>
      <c r="C229" s="52" t="str">
        <f>IFERROR(HLOOKUP($B229,FUT_18_Train_Tot,Age15_29, FALSE)/(HLOOKUP("Total",FUT_18_Train_Tot,Age15_29, FALSE)-HLOOKUP("Not applicable",FUT_18_Train_Tot,Age15_29, FALSE)),":")</f>
        <v>:</v>
      </c>
      <c r="D229" s="53" t="str">
        <f>IFERROR(HLOOKUP($B229,FUT_18_Train_Men,Age15_29, FALSE)/(HLOOKUP("Total",FUT_18_Train_Men,Age15_29, FALSE)-HLOOKUP("Not applicable",FUT_18_Train_Men,Age15_29, FALSE)),":")</f>
        <v>:</v>
      </c>
      <c r="E229" s="54" t="str">
        <f>IFERROR(HLOOKUP($B229,FUT_18_Train_Women,Age15_29, FALSE)/(HLOOKUP("Total",FUT_18_Train_Women,Age15_29, FALSE)-HLOOKUP("Not applicable",FUT_18_Train_Women,Age15_29, FALSE)),":")</f>
        <v>:</v>
      </c>
      <c r="F229" s="52" t="str">
        <f>IFERROR(HLOOKUP($B229,FUT_18_Train_Tot,Age15_19, FALSE)/(HLOOKUP("Total",FUT_18_Train_Tot,Age15_19, FALSE)-HLOOKUP("Not applicable",FUT_18_Train_Tot,Age15_19, FALSE)),":")</f>
        <v>:</v>
      </c>
      <c r="G229" s="53" t="str">
        <f>IFERROR(HLOOKUP($B229,FUT_18_Train_Men,Age15_19, FALSE)/(HLOOKUP("Total",FUT_18_Train_Men,Age15_19, FALSE)-HLOOKUP("Not applicable",FUT_18_Train_Men,Age15_19, FALSE)),":")</f>
        <v>:</v>
      </c>
      <c r="H229" s="54" t="str">
        <f>IFERROR(HLOOKUP($B229,FUT_18_Train_Women,Age15_19, FALSE)/(HLOOKUP("Total",FUT_18_Train_Women,Age15_19, FALSE)-HLOOKUP("Not applicable",FUT_18_Train_Women,Age15_19, FALSE)),":")</f>
        <v>:</v>
      </c>
      <c r="I229" s="52" t="str">
        <f>IFERROR(HLOOKUP($B229,FUT_18_Train_Tot,Age20_24, FALSE)/(HLOOKUP("Total",FUT_18_Train_Tot,Age20_24, FALSE)-HLOOKUP("Not applicable",FUT_18_Train_Tot,Age20_24, FALSE)),":")</f>
        <v>:</v>
      </c>
      <c r="J229" s="53" t="str">
        <f>IFERROR(HLOOKUP($B229,FUT_18_Train_Men,Age20_24, FALSE)/(HLOOKUP("Total",FUT_18_Train_Men,Age20_24, FALSE)-HLOOKUP("Not applicable",FUT_18_Train_Men,Age20_24, FALSE)),":")</f>
        <v>:</v>
      </c>
      <c r="K229" s="54" t="str">
        <f>IFERROR(HLOOKUP($B229,FUT_18_Train_Women,Age20_24, FALSE)/(HLOOKUP("Total",FUT_18_Train_Women,Age20_24, FALSE)-HLOOKUP("Not applicable",FUT_18_Train_Women,Age20_24, FALSE)),":")</f>
        <v>:</v>
      </c>
      <c r="L229" s="52" t="str">
        <f>IFERROR(HLOOKUP($B229,FUT_18_Train_Tot,Age25_29, FALSE)/(HLOOKUP("Total",FUT_18_Train_Tot,Age25_29, FALSE)-HLOOKUP("Not applicable",FUT_18_Train_Tot,Age25_29, FALSE)),":")</f>
        <v>:</v>
      </c>
      <c r="M229" s="53" t="str">
        <f>IFERROR(HLOOKUP($B229,FUT_18_Train_Men,Age25_29, FALSE)/(HLOOKUP("Total",FUT_18_Train_Men,Age25_29, FALSE)-HLOOKUP("Not applicable",FUT_18_Train_Men,Age25_29, FALSE)),":")</f>
        <v>:</v>
      </c>
      <c r="N229" s="54" t="str">
        <f>IFERROR(HLOOKUP($B229,FUT_18_Train_Women,Age25_29, FALSE)/(HLOOKUP("Total",FUT_18_Train_Women,Age25_29, FALSE)-HLOOKUP("Not applicable",FUT_18_Train_Women,Age25_29, FALSE)),":")</f>
        <v>:</v>
      </c>
    </row>
    <row r="230" spans="1:14" outlineLevel="1" x14ac:dyDescent="0.35">
      <c r="A230" s="50"/>
      <c r="B230" s="60" t="s">
        <v>100</v>
      </c>
      <c r="C230" s="52" t="str">
        <f>IFERROR(HLOOKUP($B230,FUT_18_Train_Tot,Age15_29, FALSE)/(HLOOKUP("Total",FUT_18_Train_Tot,Age15_29, FALSE)-HLOOKUP("Not applicable",FUT_18_Train_Tot,Age15_29, FALSE)),":")</f>
        <v>:</v>
      </c>
      <c r="D230" s="53" t="str">
        <f>IFERROR(HLOOKUP($B230,FUT_18_Train_Men,Age15_29, FALSE)/(HLOOKUP("Total",FUT_18_Train_Men,Age15_29, FALSE)-HLOOKUP("Not applicable",FUT_18_Train_Men,Age15_29, FALSE)),":")</f>
        <v>:</v>
      </c>
      <c r="E230" s="54" t="str">
        <f>IFERROR(HLOOKUP($B230,FUT_18_Train_Women,Age15_29, FALSE)/(HLOOKUP("Total",FUT_18_Train_Women,Age15_29, FALSE)-HLOOKUP("Not applicable",FUT_18_Train_Women,Age15_29, FALSE)),":")</f>
        <v>:</v>
      </c>
      <c r="F230" s="52" t="str">
        <f>IFERROR(HLOOKUP($B230,FUT_18_Train_Tot,Age15_19, FALSE)/(HLOOKUP("Total",FUT_18_Train_Tot,Age15_19, FALSE)-HLOOKUP("Not applicable",FUT_18_Train_Tot,Age15_19, FALSE)),":")</f>
        <v>:</v>
      </c>
      <c r="G230" s="53" t="str">
        <f>IFERROR(HLOOKUP($B230,FUT_18_Train_Men,Age15_19, FALSE)/(HLOOKUP("Total",FUT_18_Train_Men,Age15_19, FALSE)-HLOOKUP("Not applicable",FUT_18_Train_Men,Age15_19, FALSE)),":")</f>
        <v>:</v>
      </c>
      <c r="H230" s="54" t="str">
        <f>IFERROR(HLOOKUP($B230,FUT_18_Train_Women,Age15_19, FALSE)/(HLOOKUP("Total",FUT_18_Train_Women,Age15_19, FALSE)-HLOOKUP("Not applicable",FUT_18_Train_Women,Age15_19, FALSE)),":")</f>
        <v>:</v>
      </c>
      <c r="I230" s="52" t="str">
        <f>IFERROR(HLOOKUP($B230,FUT_18_Train_Tot,Age20_24, FALSE)/(HLOOKUP("Total",FUT_18_Train_Tot,Age20_24, FALSE)-HLOOKUP("Not applicable",FUT_18_Train_Tot,Age20_24, FALSE)),":")</f>
        <v>:</v>
      </c>
      <c r="J230" s="53" t="str">
        <f>IFERROR(HLOOKUP($B230,FUT_18_Train_Men,Age20_24, FALSE)/(HLOOKUP("Total",FUT_18_Train_Men,Age20_24, FALSE)-HLOOKUP("Not applicable",FUT_18_Train_Men,Age20_24, FALSE)),":")</f>
        <v>:</v>
      </c>
      <c r="K230" s="54" t="str">
        <f>IFERROR(HLOOKUP($B230,FUT_18_Train_Women,Age20_24, FALSE)/(HLOOKUP("Total",FUT_18_Train_Women,Age20_24, FALSE)-HLOOKUP("Not applicable",FUT_18_Train_Women,Age20_24, FALSE)),":")</f>
        <v>:</v>
      </c>
      <c r="L230" s="52" t="str">
        <f>IFERROR(HLOOKUP($B230,FUT_18_Train_Tot,Age25_29, FALSE)/(HLOOKUP("Total",FUT_18_Train_Tot,Age25_29, FALSE)-HLOOKUP("Not applicable",FUT_18_Train_Tot,Age25_29, FALSE)),":")</f>
        <v>:</v>
      </c>
      <c r="M230" s="53" t="str">
        <f>IFERROR(HLOOKUP($B230,FUT_18_Train_Men,Age25_29, FALSE)/(HLOOKUP("Total",FUT_18_Train_Men,Age25_29, FALSE)-HLOOKUP("Not applicable",FUT_18_Train_Men,Age25_29, FALSE)),":")</f>
        <v>:</v>
      </c>
      <c r="N230" s="54" t="str">
        <f>IFERROR(HLOOKUP($B230,FUT_18_Train_Women,Age25_29, FALSE)/(HLOOKUP("Total",FUT_18_Train_Women,Age25_29, FALSE)-HLOOKUP("Not applicable",FUT_18_Train_Women,Age25_29, FALSE)),":")</f>
        <v>:</v>
      </c>
    </row>
    <row r="231" spans="1:14" ht="15" thickBot="1" x14ac:dyDescent="0.4">
      <c r="A231" s="105" t="s">
        <v>21</v>
      </c>
      <c r="B231" s="106"/>
      <c r="C231" s="107" t="str">
        <f>IFERROR(HLOOKUP($A231,FUT_18_Train_Tot,Age15_29, FALSE)/(HLOOKUP("Total",FUT_18_Train_Tot,Age15_29, FALSE)-HLOOKUP("Not applicable",FUT_18_Train_Tot,Age15_29, FALSE)),":")</f>
        <v>:</v>
      </c>
      <c r="D231" s="108" t="str">
        <f>IFERROR(HLOOKUP($A231,FUT_18_Train_Men,Age15_29, FALSE)/(HLOOKUP("Total",FUT_18_Train_Men,Age15_29, FALSE)-HLOOKUP("Not applicable",FUT_18_Train_Men,Age15_29, FALSE)),":")</f>
        <v>:</v>
      </c>
      <c r="E231" s="109" t="str">
        <f>IFERROR(HLOOKUP($A231,FUT_18_Train_Women,Age15_29, FALSE)/(HLOOKUP("Total",FUT_18_Train_Women,Age15_29, FALSE)-HLOOKUP("Not applicable",FUT_18_Train_Women,Age15_29, FALSE)),":")</f>
        <v>:</v>
      </c>
      <c r="F231" s="107" t="str">
        <f>IFERROR(HLOOKUP($A231,FUT_18_Train_Tot,Age15_19, FALSE)/(HLOOKUP("Total",FUT_18_Train_Tot,Age15_19, FALSE)-HLOOKUP("Not applicable",FUT_18_Train_Tot,Age15_19, FALSE)),":")</f>
        <v>:</v>
      </c>
      <c r="G231" s="108" t="str">
        <f>IFERROR(HLOOKUP($A231,FUT_18_Train_Men,Age15_19, FALSE)/(HLOOKUP("Total",FUT_18_Train_Men,Age15_19, FALSE)-HLOOKUP("Not applicable",FUT_18_Train_Men,Age15_19, FALSE)),":")</f>
        <v>:</v>
      </c>
      <c r="H231" s="109" t="str">
        <f>IFERROR(HLOOKUP($A231,FUT_18_Train_Women,Age15_19, FALSE)/(HLOOKUP("Total",FUT_18_Train_Women,Age15_19, FALSE)-HLOOKUP("Not applicable",FUT_18_Train_Women,Age15_19, FALSE)),":")</f>
        <v>:</v>
      </c>
      <c r="I231" s="107" t="str">
        <f>IFERROR(HLOOKUP($A231,FUT_18_Train_Tot,Age20_24, FALSE)/(HLOOKUP("Total",FUT_18_Train_Tot,Age20_24, FALSE)-HLOOKUP("Not applicable",FUT_18_Train_Tot,Age20_24, FALSE)),":")</f>
        <v>:</v>
      </c>
      <c r="J231" s="108" t="str">
        <f>IFERROR(HLOOKUP($A231,FUT_18_Train_Men,Age20_24, FALSE)/(HLOOKUP("Total",FUT_18_Train_Men,Age20_24, FALSE)-HLOOKUP("Not applicable",FUT_18_Train_Men,Age20_24, FALSE)),":")</f>
        <v>:</v>
      </c>
      <c r="K231" s="109" t="str">
        <f>IFERROR(HLOOKUP($A231,FUT_18_Train_Women,Age20_24, FALSE)/(HLOOKUP("Total",FUT_18_Train_Women,Age20_24, FALSE)-HLOOKUP("Not applicable",FUT_18_Train_Women,Age20_24, FALSE)),":")</f>
        <v>:</v>
      </c>
      <c r="L231" s="107" t="str">
        <f>IFERROR(HLOOKUP($A231,FUT_18_Train_Tot,Age25_29, FALSE)/(HLOOKUP("Total",FUT_18_Train_Tot,Age25_29, FALSE)-HLOOKUP("Not applicable",FUT_18_Train_Tot,Age25_29, FALSE)),":")</f>
        <v>:</v>
      </c>
      <c r="M231" s="108" t="str">
        <f>IFERROR(HLOOKUP($A231,FUT_18_Train_Men,Age25_29, FALSE)/(HLOOKUP("Total",FUT_18_Train_Men,Age25_29, FALSE)-HLOOKUP("Not applicable",FUT_18_Train_Men,Age25_29, FALSE)),":")</f>
        <v>:</v>
      </c>
      <c r="N231" s="109" t="str">
        <f>IFERROR(HLOOKUP($A231,FUT_18_Train_Women,Age25_29, FALSE)/(HLOOKUP("Total",FUT_18_Train_Women,Age25_29, FALSE)-HLOOKUP("Not applicable",FUT_18_Train_Women,Age25_29, FALSE)),":")</f>
        <v>:</v>
      </c>
    </row>
    <row r="232" spans="1:14" ht="15" thickTop="1" x14ac:dyDescent="0.35"/>
  </sheetData>
  <sheetProtection algorithmName="SHA-512" hashValue="XFFKCzuRV7Rbe8vNzvijrfav4HU/h+be80TZdXpq9UDbZMZRN3sqnxP9UlwxonLyj9cspZSGhOe2FkmMFfcVEQ==" saltValue="hzJ6KzmUs/M5k5wGBR6sJg==" spinCount="100000" sheet="1" formatCells="0" formatColumns="0" formatRows="0"/>
  <mergeCells count="92">
    <mergeCell ref="C9:I9"/>
    <mergeCell ref="C18:I18"/>
    <mergeCell ref="C92:E92"/>
    <mergeCell ref="C104:E104"/>
    <mergeCell ref="C37:K37"/>
    <mergeCell ref="L197:N197"/>
    <mergeCell ref="L209:N209"/>
    <mergeCell ref="L221:N221"/>
    <mergeCell ref="L158:N158"/>
    <mergeCell ref="L170:N170"/>
    <mergeCell ref="L182:N182"/>
    <mergeCell ref="L119:N119"/>
    <mergeCell ref="L131:N131"/>
    <mergeCell ref="L143:N143"/>
    <mergeCell ref="L80:N80"/>
    <mergeCell ref="L92:N92"/>
    <mergeCell ref="L104:N104"/>
    <mergeCell ref="L39:N39"/>
    <mergeCell ref="L51:N51"/>
    <mergeCell ref="L63:N63"/>
    <mergeCell ref="L11:N11"/>
    <mergeCell ref="L20:N20"/>
    <mergeCell ref="C156:J156"/>
    <mergeCell ref="C195:J195"/>
    <mergeCell ref="A221:B222"/>
    <mergeCell ref="F221:H221"/>
    <mergeCell ref="I221:K221"/>
    <mergeCell ref="A209:B210"/>
    <mergeCell ref="F209:H209"/>
    <mergeCell ref="I209:K209"/>
    <mergeCell ref="I170:K170"/>
    <mergeCell ref="A182:B183"/>
    <mergeCell ref="F182:H182"/>
    <mergeCell ref="I182:K182"/>
    <mergeCell ref="C209:E209"/>
    <mergeCell ref="C221:E221"/>
    <mergeCell ref="C158:E158"/>
    <mergeCell ref="C170:E170"/>
    <mergeCell ref="A197:B198"/>
    <mergeCell ref="F197:H197"/>
    <mergeCell ref="I197:K197"/>
    <mergeCell ref="A158:B159"/>
    <mergeCell ref="F158:H158"/>
    <mergeCell ref="I158:K158"/>
    <mergeCell ref="A170:B171"/>
    <mergeCell ref="F170:H170"/>
    <mergeCell ref="C182:E182"/>
    <mergeCell ref="C197:E197"/>
    <mergeCell ref="A104:B105"/>
    <mergeCell ref="F104:H104"/>
    <mergeCell ref="I104:K104"/>
    <mergeCell ref="C117:J117"/>
    <mergeCell ref="A143:B144"/>
    <mergeCell ref="F143:H143"/>
    <mergeCell ref="I143:K143"/>
    <mergeCell ref="C119:E119"/>
    <mergeCell ref="C131:E131"/>
    <mergeCell ref="C143:E143"/>
    <mergeCell ref="A131:B132"/>
    <mergeCell ref="F131:H131"/>
    <mergeCell ref="I131:K131"/>
    <mergeCell ref="A119:B120"/>
    <mergeCell ref="F119:H119"/>
    <mergeCell ref="I119:K119"/>
    <mergeCell ref="A39:B40"/>
    <mergeCell ref="F39:H39"/>
    <mergeCell ref="I39:K39"/>
    <mergeCell ref="C39:E39"/>
    <mergeCell ref="C78:K78"/>
    <mergeCell ref="A51:B52"/>
    <mergeCell ref="F51:H51"/>
    <mergeCell ref="I51:K51"/>
    <mergeCell ref="A63:B64"/>
    <mergeCell ref="F63:H63"/>
    <mergeCell ref="I63:K63"/>
    <mergeCell ref="A92:B93"/>
    <mergeCell ref="F92:H92"/>
    <mergeCell ref="I92:K92"/>
    <mergeCell ref="C51:E51"/>
    <mergeCell ref="C63:E63"/>
    <mergeCell ref="C80:E80"/>
    <mergeCell ref="A80:B81"/>
    <mergeCell ref="F80:H80"/>
    <mergeCell ref="I80:K80"/>
    <mergeCell ref="A11:B12"/>
    <mergeCell ref="F11:H11"/>
    <mergeCell ref="I11:K11"/>
    <mergeCell ref="A20:B21"/>
    <mergeCell ref="F20:H20"/>
    <mergeCell ref="I20:K20"/>
    <mergeCell ref="C11:E11"/>
    <mergeCell ref="C20:E20"/>
  </mergeCells>
  <pageMargins left="0.23622047244094491" right="0.23622047244094491" top="0.74803149606299213" bottom="0.74803149606299213" header="0.31496062992125984" footer="0.31496062992125984"/>
  <pageSetup paperSize="9" orientation="landscape" r:id="rId1"/>
  <headerFooter>
    <oddFooter>&amp;LYG monitoring (pilot)&amp;R&amp;A\&amp;P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BC33D-7F28-4EDA-981A-8EDA9D116FF0}">
  <sheetPr codeName="Sheet11"/>
  <dimension ref="A1:X2"/>
  <sheetViews>
    <sheetView workbookViewId="0">
      <selection activeCell="C2" sqref="C2"/>
    </sheetView>
  </sheetViews>
  <sheetFormatPr defaultRowHeight="14.5" x14ac:dyDescent="0.35"/>
  <sheetData>
    <row r="1" spans="1:24" x14ac:dyDescent="0.35">
      <c r="A1" t="s">
        <v>60</v>
      </c>
      <c r="B1" t="s">
        <v>298</v>
      </c>
      <c r="C1" t="s">
        <v>91</v>
      </c>
      <c r="D1" t="s">
        <v>299</v>
      </c>
      <c r="E1" t="s">
        <v>300</v>
      </c>
      <c r="F1" t="s">
        <v>301</v>
      </c>
      <c r="G1" t="s">
        <v>302</v>
      </c>
      <c r="H1" t="s">
        <v>303</v>
      </c>
      <c r="I1" t="s">
        <v>304</v>
      </c>
      <c r="J1" t="s">
        <v>305</v>
      </c>
      <c r="K1" t="s">
        <v>306</v>
      </c>
      <c r="L1" t="s">
        <v>307</v>
      </c>
      <c r="M1" t="s">
        <v>308</v>
      </c>
      <c r="N1" t="s">
        <v>309</v>
      </c>
      <c r="O1" t="s">
        <v>310</v>
      </c>
      <c r="P1" t="s">
        <v>311</v>
      </c>
      <c r="Q1" t="s">
        <v>312</v>
      </c>
      <c r="R1" t="s">
        <v>313</v>
      </c>
      <c r="S1" t="s">
        <v>314</v>
      </c>
      <c r="T1" t="s">
        <v>315</v>
      </c>
      <c r="U1" t="s">
        <v>316</v>
      </c>
      <c r="V1" t="s">
        <v>317</v>
      </c>
      <c r="W1" t="s">
        <v>227</v>
      </c>
      <c r="X1" t="s">
        <v>318</v>
      </c>
    </row>
    <row r="2" spans="1:24" x14ac:dyDescent="0.35">
      <c r="A2" t="str">
        <f>Metadata_Q1</f>
        <v>Estonia</v>
      </c>
      <c r="B2" t="str">
        <f>Metadata_Q2i</f>
        <v>Youth Guarantee Support System</v>
      </c>
      <c r="C2" t="str">
        <f>Metadata_Q2ii</f>
        <v>YGSS: Gethe Laus</v>
      </c>
      <c r="D2" t="str">
        <f>Metadata_Q2iii</f>
        <v>gethe.laus@sotsiaalkindlustusamet.ee</v>
      </c>
      <c r="E2" t="str">
        <f>Metadata_Q3i</f>
        <v>Youth Guarantee Support System</v>
      </c>
      <c r="F2" t="str">
        <f>Metadata_Q3ii</f>
        <v>Young people aged 15-29 registered in the YGSS programme</v>
      </c>
      <c r="G2">
        <f>Metadata_Q4ia</f>
        <v>2025</v>
      </c>
      <c r="H2">
        <f>Metadata_Q4iia</f>
        <v>2024</v>
      </c>
      <c r="I2">
        <f>Metadata_Q4iiia</f>
        <v>2023</v>
      </c>
      <c r="J2">
        <f>Metadata_Q4iva</f>
        <v>2022</v>
      </c>
      <c r="K2" t="str">
        <f>Metadata_Q5</f>
        <v>YGSS (from 2024): Limited data available to now regarding destinations and no data on monthly stocks (estimated).
The YGSS is a support service implemented by local governments and supported by the Ministry of Economic Affairs. It focuses on young people in vulnerable situations and is funded by the ESF+.
The durations vary slightly compared to the YG monitoring framework.
 It is possible some are registered with the PES so there is a degree of overlap with the two datasets (i.e. double counting).
Initiative this initiative, the aim is to reach 5,000 vulnerable young people during the 2024–2027 period.
Age breakdown does not always match total (category "other" provided in raw data has not been included in breakdowns but has been included in the totals).</v>
      </c>
      <c r="L2" t="str">
        <f>Metadata_Q6i</f>
        <v>YGSS: 
- Data on entrants who are registered unemployed are incomplete (available for 6 of 21 regions in 2026). It may be available at the end of the period (i.e. 2027).
- No information on previous experience.
ESF+ monitoring uses unique participation record per individual, to technically, re-entries are not recorded.</v>
      </c>
      <c r="M2" t="str">
        <f>Metadata_Q6ii</f>
        <v>YGSS: 
- Stock data are estimated based on entrants and exits data.
- Breakdown of stocks by duration are estimated based on exits data by duration.
- Duration of stocks refers to 0-4 months, 5-6 months, 7-12 months and 13+ months.</v>
      </c>
      <c r="N2" t="str">
        <f>Metadata_Q6iii</f>
        <v>YGSS: 
- Timely exits refer to those less than 5 months (and not less than 4 months)
- Information on destination not available.</v>
      </c>
      <c r="O2" t="str">
        <f>Metadata_Q6iiia</f>
        <v>YGSS: N/a</v>
      </c>
      <c r="P2">
        <f>Metadata_Q6iiib</f>
        <v>0</v>
      </c>
      <c r="Q2" t="str">
        <f>Metadata_Q6iiic</f>
        <v>None?</v>
      </c>
      <c r="R2" t="str">
        <f>Metadata_Q6iv</f>
        <v>Not available</v>
      </c>
      <c r="S2" t="str">
        <f>Metadata_Q6v</f>
        <v>Not available</v>
      </c>
      <c r="T2" t="str">
        <f>Metadata_Q6vi</f>
        <v>Not available</v>
      </c>
      <c r="U2" t="str">
        <f>Metadata_Q6via</f>
        <v>N/a</v>
      </c>
      <c r="V2" t="str">
        <f>Metadata_Q6vib</f>
        <v>N/a</v>
      </c>
      <c r="W2">
        <f>Metadata_Q6vii</f>
        <v>0</v>
      </c>
      <c r="X2" t="str">
        <f>Metadata_Q7</f>
        <v>New initiative from 2023. Data available only for 2024-2025.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24599-D19D-4FAE-B2A6-6ED3AC6472E1}">
  <sheetPr codeName="Sheet12"/>
  <dimension ref="A1:Y28"/>
  <sheetViews>
    <sheetView workbookViewId="0">
      <selection activeCell="C15" sqref="C15:Y15"/>
    </sheetView>
  </sheetViews>
  <sheetFormatPr defaultRowHeight="14.25" customHeight="1" x14ac:dyDescent="0.35"/>
  <sheetData>
    <row r="1" spans="1:25" ht="14.25" customHeight="1" x14ac:dyDescent="0.35">
      <c r="A1" t="s">
        <v>60</v>
      </c>
      <c r="B1" t="s">
        <v>437</v>
      </c>
      <c r="C1" t="s">
        <v>298</v>
      </c>
      <c r="D1" t="s">
        <v>91</v>
      </c>
      <c r="E1" t="s">
        <v>299</v>
      </c>
      <c r="F1" t="s">
        <v>300</v>
      </c>
      <c r="G1" t="s">
        <v>301</v>
      </c>
      <c r="H1" t="s">
        <v>302</v>
      </c>
      <c r="I1" t="s">
        <v>303</v>
      </c>
      <c r="J1" t="s">
        <v>304</v>
      </c>
      <c r="K1" t="s">
        <v>305</v>
      </c>
      <c r="L1" t="s">
        <v>306</v>
      </c>
      <c r="M1" t="s">
        <v>307</v>
      </c>
      <c r="N1" t="s">
        <v>308</v>
      </c>
      <c r="O1" t="s">
        <v>309</v>
      </c>
      <c r="P1" t="s">
        <v>310</v>
      </c>
      <c r="Q1" t="s">
        <v>311</v>
      </c>
      <c r="R1" t="s">
        <v>312</v>
      </c>
      <c r="S1" t="s">
        <v>313</v>
      </c>
      <c r="T1" t="s">
        <v>314</v>
      </c>
      <c r="U1" t="s">
        <v>315</v>
      </c>
      <c r="V1" t="s">
        <v>316</v>
      </c>
      <c r="W1" t="s">
        <v>317</v>
      </c>
      <c r="X1" t="s">
        <v>227</v>
      </c>
      <c r="Y1" t="s">
        <v>318</v>
      </c>
    </row>
    <row r="2" spans="1:25" ht="14.25" customHeight="1" x14ac:dyDescent="0.35">
      <c r="A2" t="s">
        <v>82</v>
      </c>
      <c r="B2" t="s">
        <v>290</v>
      </c>
      <c r="C2" t="s">
        <v>608</v>
      </c>
      <c r="D2" t="s">
        <v>482</v>
      </c>
      <c r="E2" t="s">
        <v>609</v>
      </c>
      <c r="F2" t="s">
        <v>334</v>
      </c>
      <c r="G2" t="s">
        <v>335</v>
      </c>
      <c r="H2">
        <v>2024</v>
      </c>
      <c r="I2">
        <v>2023</v>
      </c>
      <c r="J2">
        <v>2022</v>
      </c>
      <c r="K2">
        <v>2021</v>
      </c>
      <c r="L2" t="s">
        <v>336</v>
      </c>
      <c r="M2" t="s">
        <v>337</v>
      </c>
      <c r="N2" t="s">
        <v>473</v>
      </c>
      <c r="O2" t="s">
        <v>338</v>
      </c>
      <c r="P2" t="s">
        <v>339</v>
      </c>
      <c r="Q2" t="s">
        <v>340</v>
      </c>
      <c r="R2" t="s">
        <v>341</v>
      </c>
      <c r="S2" t="s">
        <v>367</v>
      </c>
      <c r="T2" t="s">
        <v>367</v>
      </c>
      <c r="U2" t="s">
        <v>367</v>
      </c>
      <c r="V2" t="s">
        <v>342</v>
      </c>
      <c r="W2" t="s">
        <v>343</v>
      </c>
      <c r="X2" t="s">
        <v>367</v>
      </c>
      <c r="Y2">
        <v>0</v>
      </c>
    </row>
    <row r="3" spans="1:25" ht="14.25" customHeight="1" x14ac:dyDescent="0.35">
      <c r="A3" t="s">
        <v>65</v>
      </c>
      <c r="B3" t="s">
        <v>280</v>
      </c>
      <c r="C3" t="s">
        <v>329</v>
      </c>
      <c r="D3" t="s">
        <v>330</v>
      </c>
      <c r="E3" t="s">
        <v>549</v>
      </c>
      <c r="F3" t="s">
        <v>550</v>
      </c>
      <c r="G3" t="s">
        <v>324</v>
      </c>
      <c r="H3">
        <v>2024</v>
      </c>
      <c r="I3">
        <v>2024</v>
      </c>
      <c r="J3">
        <v>2023</v>
      </c>
      <c r="K3">
        <v>2022</v>
      </c>
      <c r="L3" t="s">
        <v>610</v>
      </c>
      <c r="M3" t="s">
        <v>461</v>
      </c>
      <c r="N3" t="s">
        <v>461</v>
      </c>
      <c r="O3" t="s">
        <v>611</v>
      </c>
      <c r="P3" t="s">
        <v>551</v>
      </c>
      <c r="Q3" t="s">
        <v>612</v>
      </c>
      <c r="R3" t="s">
        <v>552</v>
      </c>
      <c r="S3" t="s">
        <v>553</v>
      </c>
      <c r="T3">
        <v>0</v>
      </c>
      <c r="U3">
        <v>0</v>
      </c>
      <c r="V3" t="s">
        <v>333</v>
      </c>
      <c r="W3" t="s">
        <v>554</v>
      </c>
      <c r="X3">
        <v>0</v>
      </c>
      <c r="Y3" t="s">
        <v>613</v>
      </c>
    </row>
    <row r="4" spans="1:25" ht="14.25" customHeight="1" x14ac:dyDescent="0.35">
      <c r="A4" t="s">
        <v>75</v>
      </c>
      <c r="B4" t="s">
        <v>277</v>
      </c>
      <c r="C4" t="s">
        <v>363</v>
      </c>
      <c r="D4" t="s">
        <v>364</v>
      </c>
      <c r="E4" t="s">
        <v>365</v>
      </c>
      <c r="F4" t="s">
        <v>456</v>
      </c>
      <c r="G4" t="s">
        <v>366</v>
      </c>
      <c r="H4">
        <v>2024</v>
      </c>
      <c r="I4">
        <v>2023</v>
      </c>
      <c r="J4">
        <v>2022</v>
      </c>
      <c r="K4">
        <v>2021</v>
      </c>
      <c r="L4" t="s">
        <v>555</v>
      </c>
      <c r="M4" t="s">
        <v>473</v>
      </c>
      <c r="N4" t="s">
        <v>461</v>
      </c>
      <c r="O4" s="20" t="s">
        <v>556</v>
      </c>
      <c r="P4" t="s">
        <v>368</v>
      </c>
      <c r="Q4" s="20" t="s">
        <v>557</v>
      </c>
      <c r="R4" t="s">
        <v>614</v>
      </c>
      <c r="S4" t="s">
        <v>369</v>
      </c>
      <c r="T4" t="s">
        <v>332</v>
      </c>
      <c r="U4" t="s">
        <v>332</v>
      </c>
      <c r="V4" t="s">
        <v>370</v>
      </c>
      <c r="W4" t="s">
        <v>558</v>
      </c>
      <c r="X4" t="s">
        <v>473</v>
      </c>
      <c r="Y4">
        <v>0</v>
      </c>
    </row>
    <row r="5" spans="1:25" ht="14.25" customHeight="1" x14ac:dyDescent="0.35">
      <c r="A5" t="s">
        <v>438</v>
      </c>
      <c r="B5" t="s">
        <v>272</v>
      </c>
      <c r="C5" t="s">
        <v>320</v>
      </c>
      <c r="D5" t="s">
        <v>321</v>
      </c>
      <c r="E5" t="s">
        <v>322</v>
      </c>
      <c r="F5" t="s">
        <v>323</v>
      </c>
      <c r="G5" t="s">
        <v>324</v>
      </c>
      <c r="H5">
        <v>2024</v>
      </c>
      <c r="I5" t="s">
        <v>182</v>
      </c>
      <c r="J5" t="s">
        <v>182</v>
      </c>
      <c r="K5" t="s">
        <v>182</v>
      </c>
      <c r="L5" t="s">
        <v>677</v>
      </c>
      <c r="M5" t="s">
        <v>325</v>
      </c>
      <c r="N5" t="s">
        <v>615</v>
      </c>
      <c r="O5" t="s">
        <v>616</v>
      </c>
      <c r="P5" t="s">
        <v>326</v>
      </c>
      <c r="Q5" t="s">
        <v>327</v>
      </c>
      <c r="R5" t="s">
        <v>117</v>
      </c>
      <c r="S5" t="s">
        <v>328</v>
      </c>
      <c r="T5" t="s">
        <v>328</v>
      </c>
      <c r="U5" t="s">
        <v>328</v>
      </c>
      <c r="V5" t="s">
        <v>231</v>
      </c>
      <c r="W5" t="s">
        <v>231</v>
      </c>
      <c r="X5" t="s">
        <v>367</v>
      </c>
      <c r="Y5" t="s">
        <v>617</v>
      </c>
    </row>
    <row r="6" spans="1:25" ht="14.25" customHeight="1" x14ac:dyDescent="0.35">
      <c r="A6" t="s">
        <v>67</v>
      </c>
      <c r="B6" t="s">
        <v>273</v>
      </c>
      <c r="C6" t="s">
        <v>344</v>
      </c>
      <c r="D6" t="s">
        <v>618</v>
      </c>
      <c r="E6" t="s">
        <v>345</v>
      </c>
      <c r="F6" t="s">
        <v>346</v>
      </c>
      <c r="G6" t="s">
        <v>347</v>
      </c>
      <c r="H6">
        <v>2024</v>
      </c>
      <c r="I6">
        <v>2023</v>
      </c>
      <c r="J6">
        <v>2022</v>
      </c>
      <c r="K6">
        <v>2021</v>
      </c>
      <c r="L6" s="20" t="s">
        <v>367</v>
      </c>
      <c r="M6" t="s">
        <v>348</v>
      </c>
      <c r="N6" t="s">
        <v>349</v>
      </c>
      <c r="O6" t="s">
        <v>350</v>
      </c>
      <c r="P6" t="s">
        <v>351</v>
      </c>
      <c r="Q6" t="s">
        <v>352</v>
      </c>
      <c r="R6" t="s">
        <v>353</v>
      </c>
      <c r="S6" t="s">
        <v>354</v>
      </c>
      <c r="T6" t="s">
        <v>355</v>
      </c>
      <c r="U6" t="s">
        <v>355</v>
      </c>
      <c r="V6" t="s">
        <v>356</v>
      </c>
      <c r="W6" t="s">
        <v>357</v>
      </c>
      <c r="X6" t="s">
        <v>367</v>
      </c>
      <c r="Y6">
        <v>0</v>
      </c>
    </row>
    <row r="7" spans="1:25" ht="14.25" customHeight="1" x14ac:dyDescent="0.35">
      <c r="A7" t="s">
        <v>66</v>
      </c>
      <c r="B7" t="s">
        <v>281</v>
      </c>
      <c r="C7" t="s">
        <v>386</v>
      </c>
      <c r="D7" t="s">
        <v>559</v>
      </c>
      <c r="E7" t="s">
        <v>560</v>
      </c>
      <c r="F7" t="s">
        <v>323</v>
      </c>
      <c r="G7" t="s">
        <v>387</v>
      </c>
      <c r="H7">
        <v>2024</v>
      </c>
      <c r="I7">
        <v>2023</v>
      </c>
      <c r="J7">
        <v>2022</v>
      </c>
      <c r="K7">
        <v>2021</v>
      </c>
      <c r="L7" t="s">
        <v>388</v>
      </c>
      <c r="M7" t="s">
        <v>367</v>
      </c>
      <c r="N7" t="s">
        <v>367</v>
      </c>
      <c r="O7" t="s">
        <v>389</v>
      </c>
      <c r="P7" t="s">
        <v>390</v>
      </c>
      <c r="Q7" t="s">
        <v>391</v>
      </c>
      <c r="R7" t="s">
        <v>392</v>
      </c>
      <c r="S7" t="s">
        <v>619</v>
      </c>
      <c r="T7" t="s">
        <v>367</v>
      </c>
      <c r="U7" t="s">
        <v>367</v>
      </c>
      <c r="V7" t="s">
        <v>390</v>
      </c>
      <c r="W7" t="s">
        <v>391</v>
      </c>
      <c r="X7" t="s">
        <v>367</v>
      </c>
      <c r="Y7">
        <v>0</v>
      </c>
    </row>
    <row r="8" spans="1:25" ht="14.25" customHeight="1" x14ac:dyDescent="0.35">
      <c r="A8" t="s">
        <v>68</v>
      </c>
      <c r="B8" t="s">
        <v>282</v>
      </c>
      <c r="C8" t="s">
        <v>483</v>
      </c>
      <c r="D8" t="s">
        <v>484</v>
      </c>
      <c r="E8" t="s">
        <v>485</v>
      </c>
      <c r="F8" t="s">
        <v>486</v>
      </c>
      <c r="G8" t="s">
        <v>487</v>
      </c>
      <c r="H8">
        <v>2024</v>
      </c>
      <c r="I8" t="s">
        <v>182</v>
      </c>
      <c r="J8" t="s">
        <v>182</v>
      </c>
      <c r="K8" t="s">
        <v>182</v>
      </c>
      <c r="L8" t="s">
        <v>488</v>
      </c>
      <c r="M8" t="s">
        <v>489</v>
      </c>
      <c r="N8" t="s">
        <v>490</v>
      </c>
      <c r="O8" t="s">
        <v>491</v>
      </c>
      <c r="P8" t="s">
        <v>480</v>
      </c>
      <c r="Q8" t="s">
        <v>492</v>
      </c>
      <c r="R8" t="s">
        <v>117</v>
      </c>
      <c r="S8" t="s">
        <v>481</v>
      </c>
      <c r="T8" t="s">
        <v>367</v>
      </c>
      <c r="U8" t="s">
        <v>367</v>
      </c>
      <c r="V8" t="s">
        <v>493</v>
      </c>
      <c r="W8" t="s">
        <v>493</v>
      </c>
      <c r="X8" t="s">
        <v>367</v>
      </c>
      <c r="Y8">
        <v>0</v>
      </c>
    </row>
    <row r="9" spans="1:25" ht="14.25" customHeight="1" x14ac:dyDescent="0.35">
      <c r="A9" t="s">
        <v>70</v>
      </c>
      <c r="B9" t="s">
        <v>284</v>
      </c>
      <c r="C9" t="s">
        <v>474</v>
      </c>
      <c r="D9" t="s">
        <v>494</v>
      </c>
      <c r="E9" t="s">
        <v>561</v>
      </c>
      <c r="F9" t="s">
        <v>562</v>
      </c>
      <c r="G9" t="s">
        <v>620</v>
      </c>
      <c r="H9">
        <v>2024</v>
      </c>
      <c r="I9">
        <v>2023</v>
      </c>
      <c r="J9">
        <v>2022</v>
      </c>
      <c r="K9">
        <v>2021</v>
      </c>
      <c r="L9" t="s">
        <v>621</v>
      </c>
      <c r="M9" t="s">
        <v>622</v>
      </c>
      <c r="N9" t="s">
        <v>623</v>
      </c>
      <c r="O9" t="s">
        <v>624</v>
      </c>
      <c r="P9" t="s">
        <v>563</v>
      </c>
      <c r="Q9" t="s">
        <v>564</v>
      </c>
      <c r="R9" t="s">
        <v>117</v>
      </c>
      <c r="S9" t="s">
        <v>565</v>
      </c>
      <c r="T9" t="s">
        <v>565</v>
      </c>
      <c r="U9" t="s">
        <v>565</v>
      </c>
      <c r="V9" t="s">
        <v>566</v>
      </c>
      <c r="W9" t="s">
        <v>567</v>
      </c>
      <c r="X9" t="s">
        <v>367</v>
      </c>
      <c r="Y9">
        <v>0</v>
      </c>
    </row>
    <row r="10" spans="1:25" ht="14.25" customHeight="1" x14ac:dyDescent="0.35">
      <c r="A10" t="s">
        <v>71</v>
      </c>
      <c r="B10" t="s">
        <v>274</v>
      </c>
      <c r="C10" t="s">
        <v>421</v>
      </c>
      <c r="D10" t="s">
        <v>457</v>
      </c>
      <c r="E10" t="s">
        <v>422</v>
      </c>
      <c r="F10" t="s">
        <v>423</v>
      </c>
      <c r="G10" t="s">
        <v>424</v>
      </c>
      <c r="H10">
        <v>2024</v>
      </c>
      <c r="I10">
        <v>2023</v>
      </c>
      <c r="J10">
        <v>2022</v>
      </c>
      <c r="K10">
        <v>2021</v>
      </c>
      <c r="L10" t="s">
        <v>625</v>
      </c>
      <c r="M10" t="s">
        <v>425</v>
      </c>
      <c r="N10" t="s">
        <v>626</v>
      </c>
      <c r="O10" t="s">
        <v>627</v>
      </c>
      <c r="P10" t="s">
        <v>426</v>
      </c>
      <c r="Q10" t="s">
        <v>427</v>
      </c>
      <c r="R10" t="s">
        <v>117</v>
      </c>
      <c r="S10" t="s">
        <v>628</v>
      </c>
      <c r="T10" t="s">
        <v>367</v>
      </c>
      <c r="U10" t="s">
        <v>367</v>
      </c>
      <c r="V10" t="s">
        <v>428</v>
      </c>
      <c r="W10" t="s">
        <v>629</v>
      </c>
      <c r="X10" t="s">
        <v>367</v>
      </c>
      <c r="Y10" t="s">
        <v>630</v>
      </c>
    </row>
    <row r="11" spans="1:25" ht="14.25" customHeight="1" x14ac:dyDescent="0.35">
      <c r="A11" t="s">
        <v>88</v>
      </c>
      <c r="B11" t="s">
        <v>296</v>
      </c>
      <c r="C11" t="s">
        <v>631</v>
      </c>
      <c r="D11" t="s">
        <v>632</v>
      </c>
      <c r="E11" t="s">
        <v>633</v>
      </c>
      <c r="F11" t="s">
        <v>323</v>
      </c>
      <c r="G11" t="s">
        <v>331</v>
      </c>
      <c r="H11">
        <v>2024</v>
      </c>
      <c r="I11" t="s">
        <v>182</v>
      </c>
      <c r="J11" t="s">
        <v>182</v>
      </c>
      <c r="K11" t="s">
        <v>182</v>
      </c>
      <c r="L11" t="s">
        <v>378</v>
      </c>
      <c r="M11" t="s">
        <v>379</v>
      </c>
      <c r="N11" t="s">
        <v>380</v>
      </c>
      <c r="O11" t="s">
        <v>381</v>
      </c>
      <c r="P11" t="s">
        <v>382</v>
      </c>
      <c r="Q11" t="s">
        <v>383</v>
      </c>
      <c r="R11" t="s">
        <v>117</v>
      </c>
      <c r="S11" t="s">
        <v>384</v>
      </c>
      <c r="T11" t="s">
        <v>361</v>
      </c>
      <c r="U11" t="s">
        <v>361</v>
      </c>
      <c r="V11" t="s">
        <v>231</v>
      </c>
      <c r="W11" t="s">
        <v>231</v>
      </c>
      <c r="X11" t="s">
        <v>385</v>
      </c>
      <c r="Y11">
        <v>0</v>
      </c>
    </row>
    <row r="12" spans="1:25" ht="14.25" customHeight="1" x14ac:dyDescent="0.35">
      <c r="A12" t="s">
        <v>73</v>
      </c>
      <c r="B12" t="s">
        <v>285</v>
      </c>
      <c r="C12" t="s">
        <v>393</v>
      </c>
      <c r="D12" t="s">
        <v>394</v>
      </c>
      <c r="E12" t="s">
        <v>395</v>
      </c>
      <c r="F12" t="s">
        <v>396</v>
      </c>
      <c r="G12" t="s">
        <v>331</v>
      </c>
      <c r="H12">
        <v>2024</v>
      </c>
      <c r="I12">
        <v>2023</v>
      </c>
      <c r="J12">
        <v>2022</v>
      </c>
      <c r="K12">
        <v>2021</v>
      </c>
      <c r="L12" t="s">
        <v>458</v>
      </c>
      <c r="M12" t="s">
        <v>367</v>
      </c>
      <c r="N12" t="s">
        <v>367</v>
      </c>
      <c r="O12" t="s">
        <v>568</v>
      </c>
      <c r="P12" t="s">
        <v>397</v>
      </c>
      <c r="Q12" t="s">
        <v>398</v>
      </c>
      <c r="R12" t="s">
        <v>399</v>
      </c>
      <c r="S12" t="s">
        <v>634</v>
      </c>
      <c r="T12" t="s">
        <v>332</v>
      </c>
      <c r="U12" t="s">
        <v>332</v>
      </c>
      <c r="V12" t="s">
        <v>400</v>
      </c>
      <c r="W12" t="s">
        <v>367</v>
      </c>
      <c r="X12" t="s">
        <v>367</v>
      </c>
      <c r="Y12">
        <v>0</v>
      </c>
    </row>
    <row r="13" spans="1:25" ht="14.25" customHeight="1" x14ac:dyDescent="0.35">
      <c r="A13" t="s">
        <v>79</v>
      </c>
      <c r="B13" t="s">
        <v>279</v>
      </c>
      <c r="C13" t="s">
        <v>569</v>
      </c>
      <c r="D13" t="s">
        <v>570</v>
      </c>
      <c r="E13" t="s">
        <v>571</v>
      </c>
      <c r="F13" t="s">
        <v>323</v>
      </c>
      <c r="G13" t="s">
        <v>635</v>
      </c>
      <c r="H13">
        <v>2024</v>
      </c>
      <c r="I13">
        <v>2023</v>
      </c>
      <c r="J13">
        <v>2022</v>
      </c>
      <c r="K13">
        <v>2021</v>
      </c>
      <c r="L13" s="20" t="s">
        <v>678</v>
      </c>
      <c r="M13">
        <v>0</v>
      </c>
      <c r="N13" t="s">
        <v>371</v>
      </c>
      <c r="O13" t="s">
        <v>372</v>
      </c>
      <c r="P13" t="s">
        <v>373</v>
      </c>
      <c r="Q13" t="s">
        <v>374</v>
      </c>
      <c r="R13" t="s">
        <v>117</v>
      </c>
      <c r="S13" t="s">
        <v>375</v>
      </c>
      <c r="T13" t="s">
        <v>332</v>
      </c>
      <c r="U13" t="s">
        <v>332</v>
      </c>
      <c r="V13" t="s">
        <v>376</v>
      </c>
      <c r="W13" t="s">
        <v>377</v>
      </c>
      <c r="X13">
        <v>0</v>
      </c>
      <c r="Y13" t="s">
        <v>636</v>
      </c>
    </row>
    <row r="14" spans="1:25" ht="14.25" customHeight="1" x14ac:dyDescent="0.35">
      <c r="A14" t="s">
        <v>69</v>
      </c>
      <c r="B14" t="s">
        <v>283</v>
      </c>
      <c r="C14" t="s">
        <v>572</v>
      </c>
      <c r="D14" t="s">
        <v>573</v>
      </c>
      <c r="E14" t="s">
        <v>574</v>
      </c>
      <c r="F14" t="s">
        <v>367</v>
      </c>
      <c r="G14" t="s">
        <v>637</v>
      </c>
      <c r="H14">
        <v>2024</v>
      </c>
      <c r="I14">
        <v>2023</v>
      </c>
      <c r="J14">
        <v>2022</v>
      </c>
      <c r="K14">
        <v>2021</v>
      </c>
      <c r="L14" t="s">
        <v>679</v>
      </c>
      <c r="M14" t="s">
        <v>638</v>
      </c>
      <c r="N14" t="s">
        <v>367</v>
      </c>
      <c r="O14" t="s">
        <v>680</v>
      </c>
      <c r="P14" t="s">
        <v>639</v>
      </c>
      <c r="Q14" t="s">
        <v>640</v>
      </c>
      <c r="R14" t="s">
        <v>576</v>
      </c>
      <c r="S14" t="s">
        <v>641</v>
      </c>
      <c r="T14" t="s">
        <v>642</v>
      </c>
      <c r="U14" t="s">
        <v>577</v>
      </c>
      <c r="V14" t="s">
        <v>575</v>
      </c>
      <c r="W14" t="s">
        <v>367</v>
      </c>
      <c r="X14" t="s">
        <v>367</v>
      </c>
      <c r="Y14">
        <v>0</v>
      </c>
    </row>
    <row r="15" spans="1:25" ht="14.25" customHeight="1" x14ac:dyDescent="0.35">
      <c r="A15" t="s">
        <v>74</v>
      </c>
      <c r="B15" t="s">
        <v>276</v>
      </c>
      <c r="C15" t="s">
        <v>401</v>
      </c>
      <c r="D15" t="s">
        <v>402</v>
      </c>
      <c r="E15" t="s">
        <v>403</v>
      </c>
      <c r="F15" t="s">
        <v>681</v>
      </c>
      <c r="G15" t="s">
        <v>682</v>
      </c>
      <c r="H15">
        <v>2024</v>
      </c>
      <c r="I15">
        <v>2023</v>
      </c>
      <c r="J15">
        <v>2022</v>
      </c>
      <c r="K15">
        <v>2021</v>
      </c>
      <c r="L15" t="s">
        <v>683</v>
      </c>
      <c r="M15" t="s">
        <v>684</v>
      </c>
      <c r="N15">
        <v>0</v>
      </c>
      <c r="O15" t="s">
        <v>685</v>
      </c>
      <c r="P15" t="s">
        <v>578</v>
      </c>
      <c r="Q15" t="s">
        <v>404</v>
      </c>
      <c r="R15" t="s">
        <v>117</v>
      </c>
      <c r="S15" t="s">
        <v>579</v>
      </c>
      <c r="T15">
        <v>0</v>
      </c>
      <c r="U15">
        <v>0</v>
      </c>
      <c r="V15" t="s">
        <v>405</v>
      </c>
      <c r="W15" t="s">
        <v>406</v>
      </c>
      <c r="X15">
        <v>0</v>
      </c>
      <c r="Y15">
        <v>0</v>
      </c>
    </row>
    <row r="16" spans="1:25" ht="14.25" customHeight="1" x14ac:dyDescent="0.35">
      <c r="A16" t="s">
        <v>77</v>
      </c>
      <c r="B16" t="s">
        <v>287</v>
      </c>
      <c r="C16" t="s">
        <v>408</v>
      </c>
      <c r="D16" t="s">
        <v>409</v>
      </c>
      <c r="E16" t="s">
        <v>410</v>
      </c>
      <c r="F16" t="s">
        <v>323</v>
      </c>
      <c r="G16" t="s">
        <v>643</v>
      </c>
      <c r="H16">
        <v>2024</v>
      </c>
      <c r="I16">
        <v>2023</v>
      </c>
      <c r="J16">
        <v>2022</v>
      </c>
      <c r="K16">
        <v>2021</v>
      </c>
      <c r="L16" t="s">
        <v>580</v>
      </c>
      <c r="M16" t="s">
        <v>473</v>
      </c>
      <c r="N16" t="s">
        <v>473</v>
      </c>
      <c r="O16" t="s">
        <v>581</v>
      </c>
      <c r="P16" t="s">
        <v>411</v>
      </c>
      <c r="Q16" t="s">
        <v>412</v>
      </c>
      <c r="R16" t="s">
        <v>413</v>
      </c>
      <c r="S16" t="s">
        <v>414</v>
      </c>
      <c r="T16" t="s">
        <v>332</v>
      </c>
      <c r="U16" t="s">
        <v>332</v>
      </c>
      <c r="V16" t="s">
        <v>415</v>
      </c>
      <c r="W16" t="s">
        <v>416</v>
      </c>
      <c r="X16" t="s">
        <v>367</v>
      </c>
      <c r="Y16">
        <v>0</v>
      </c>
    </row>
    <row r="17" spans="1:25" ht="14.25" customHeight="1" x14ac:dyDescent="0.35">
      <c r="A17" t="s">
        <v>78</v>
      </c>
      <c r="B17" t="s">
        <v>278</v>
      </c>
      <c r="C17" t="s">
        <v>417</v>
      </c>
      <c r="D17" t="s">
        <v>497</v>
      </c>
      <c r="E17" t="s">
        <v>498</v>
      </c>
      <c r="F17" t="s">
        <v>418</v>
      </c>
      <c r="G17" t="s">
        <v>499</v>
      </c>
      <c r="H17">
        <v>2024</v>
      </c>
      <c r="I17">
        <v>2024</v>
      </c>
      <c r="J17">
        <v>2023</v>
      </c>
      <c r="K17">
        <v>2022</v>
      </c>
      <c r="L17" t="s">
        <v>582</v>
      </c>
      <c r="M17" t="s">
        <v>500</v>
      </c>
      <c r="N17" t="s">
        <v>419</v>
      </c>
      <c r="O17" t="s">
        <v>583</v>
      </c>
      <c r="P17" t="s">
        <v>420</v>
      </c>
      <c r="Q17" t="s">
        <v>644</v>
      </c>
      <c r="R17" t="s">
        <v>117</v>
      </c>
      <c r="S17" t="s">
        <v>584</v>
      </c>
      <c r="T17" t="s">
        <v>332</v>
      </c>
      <c r="U17" t="s">
        <v>332</v>
      </c>
      <c r="V17" t="s">
        <v>420</v>
      </c>
      <c r="W17" t="s">
        <v>501</v>
      </c>
      <c r="X17" t="s">
        <v>367</v>
      </c>
      <c r="Y17">
        <v>0</v>
      </c>
    </row>
    <row r="18" spans="1:25" ht="14.25" customHeight="1" x14ac:dyDescent="0.35">
      <c r="A18" t="s">
        <v>76</v>
      </c>
      <c r="B18" t="s">
        <v>286</v>
      </c>
      <c r="C18" t="s">
        <v>645</v>
      </c>
      <c r="D18" t="s">
        <v>502</v>
      </c>
      <c r="E18" t="s">
        <v>503</v>
      </c>
      <c r="F18" t="s">
        <v>646</v>
      </c>
      <c r="G18" t="s">
        <v>459</v>
      </c>
      <c r="H18">
        <v>2024</v>
      </c>
      <c r="I18">
        <v>2024</v>
      </c>
      <c r="J18">
        <v>2023</v>
      </c>
      <c r="K18">
        <v>2022</v>
      </c>
      <c r="L18" t="s">
        <v>460</v>
      </c>
      <c r="M18" t="s">
        <v>461</v>
      </c>
      <c r="N18" t="s">
        <v>461</v>
      </c>
      <c r="O18" t="s">
        <v>647</v>
      </c>
      <c r="P18" t="s">
        <v>462</v>
      </c>
      <c r="Q18" t="s">
        <v>504</v>
      </c>
      <c r="R18" t="s">
        <v>117</v>
      </c>
      <c r="S18" t="s">
        <v>463</v>
      </c>
      <c r="T18" t="s">
        <v>332</v>
      </c>
      <c r="U18" t="s">
        <v>332</v>
      </c>
      <c r="V18" t="s">
        <v>464</v>
      </c>
      <c r="W18" t="s">
        <v>407</v>
      </c>
      <c r="X18" t="s">
        <v>367</v>
      </c>
      <c r="Y18">
        <v>0</v>
      </c>
    </row>
    <row r="19" spans="1:25" ht="14.25" customHeight="1" x14ac:dyDescent="0.35">
      <c r="A19" t="s">
        <v>80</v>
      </c>
      <c r="B19" t="s">
        <v>288</v>
      </c>
      <c r="C19">
        <v>2024</v>
      </c>
      <c r="D19" t="s">
        <v>505</v>
      </c>
      <c r="E19" t="s">
        <v>506</v>
      </c>
      <c r="F19" t="s">
        <v>585</v>
      </c>
      <c r="G19" t="s">
        <v>648</v>
      </c>
      <c r="H19">
        <v>2024</v>
      </c>
      <c r="I19">
        <v>2023</v>
      </c>
      <c r="J19">
        <v>2022</v>
      </c>
      <c r="K19">
        <v>2021</v>
      </c>
      <c r="L19" t="s">
        <v>507</v>
      </c>
      <c r="M19" t="s">
        <v>461</v>
      </c>
      <c r="N19" t="s">
        <v>461</v>
      </c>
      <c r="O19" t="s">
        <v>429</v>
      </c>
      <c r="P19" t="s">
        <v>430</v>
      </c>
      <c r="Q19" t="s">
        <v>431</v>
      </c>
      <c r="R19" t="s">
        <v>117</v>
      </c>
      <c r="S19" t="s">
        <v>432</v>
      </c>
      <c r="T19" t="s">
        <v>332</v>
      </c>
      <c r="U19" t="s">
        <v>332</v>
      </c>
      <c r="V19" t="s">
        <v>430</v>
      </c>
      <c r="W19" t="s">
        <v>433</v>
      </c>
      <c r="X19" t="s">
        <v>461</v>
      </c>
      <c r="Y19" t="s">
        <v>649</v>
      </c>
    </row>
    <row r="20" spans="1:25" ht="14.25" customHeight="1" x14ac:dyDescent="0.35">
      <c r="A20" t="s">
        <v>81</v>
      </c>
      <c r="B20" t="s">
        <v>289</v>
      </c>
      <c r="C20" t="s">
        <v>465</v>
      </c>
      <c r="D20" t="s">
        <v>466</v>
      </c>
      <c r="E20" t="s">
        <v>467</v>
      </c>
      <c r="F20" t="s">
        <v>434</v>
      </c>
      <c r="G20" t="s">
        <v>468</v>
      </c>
      <c r="H20">
        <v>2024</v>
      </c>
      <c r="I20" t="s">
        <v>182</v>
      </c>
      <c r="J20" t="s">
        <v>182</v>
      </c>
      <c r="K20" t="s">
        <v>182</v>
      </c>
      <c r="L20" t="s">
        <v>469</v>
      </c>
      <c r="M20" t="s">
        <v>470</v>
      </c>
      <c r="N20" t="s">
        <v>650</v>
      </c>
      <c r="O20" t="s">
        <v>471</v>
      </c>
      <c r="P20" t="s">
        <v>651</v>
      </c>
      <c r="Q20" t="s">
        <v>367</v>
      </c>
      <c r="R20" t="s">
        <v>413</v>
      </c>
      <c r="S20" t="s">
        <v>435</v>
      </c>
      <c r="T20" t="s">
        <v>332</v>
      </c>
      <c r="U20" t="s">
        <v>332</v>
      </c>
      <c r="V20" t="s">
        <v>436</v>
      </c>
      <c r="W20" t="s">
        <v>436</v>
      </c>
      <c r="X20" t="s">
        <v>472</v>
      </c>
      <c r="Y20">
        <v>0</v>
      </c>
    </row>
    <row r="21" spans="1:25" ht="14.25" customHeight="1" x14ac:dyDescent="0.35">
      <c r="A21" t="s">
        <v>83</v>
      </c>
      <c r="B21" t="s">
        <v>291</v>
      </c>
      <c r="C21" t="s">
        <v>586</v>
      </c>
      <c r="D21" t="s">
        <v>587</v>
      </c>
      <c r="E21" t="s">
        <v>652</v>
      </c>
      <c r="F21" t="s">
        <v>653</v>
      </c>
      <c r="G21" t="s">
        <v>508</v>
      </c>
      <c r="H21">
        <v>2024</v>
      </c>
      <c r="I21">
        <v>2023</v>
      </c>
      <c r="J21">
        <v>2022</v>
      </c>
      <c r="K21">
        <v>2021</v>
      </c>
      <c r="L21" t="s">
        <v>367</v>
      </c>
      <c r="M21" t="s">
        <v>509</v>
      </c>
      <c r="N21" t="s">
        <v>510</v>
      </c>
      <c r="O21" t="s">
        <v>654</v>
      </c>
      <c r="P21" t="s">
        <v>655</v>
      </c>
      <c r="Q21" t="s">
        <v>656</v>
      </c>
      <c r="R21" t="s">
        <v>117</v>
      </c>
      <c r="S21" t="s">
        <v>657</v>
      </c>
      <c r="T21" t="s">
        <v>367</v>
      </c>
      <c r="U21" t="s">
        <v>367</v>
      </c>
      <c r="V21" t="s">
        <v>658</v>
      </c>
      <c r="W21" t="s">
        <v>659</v>
      </c>
      <c r="X21" t="s">
        <v>367</v>
      </c>
      <c r="Y21" t="s">
        <v>660</v>
      </c>
    </row>
    <row r="22" spans="1:25" ht="14.25" customHeight="1" x14ac:dyDescent="0.35">
      <c r="A22" t="s">
        <v>84</v>
      </c>
      <c r="B22" t="s">
        <v>292</v>
      </c>
      <c r="C22" t="s">
        <v>511</v>
      </c>
      <c r="D22" t="s">
        <v>512</v>
      </c>
      <c r="E22" t="s">
        <v>513</v>
      </c>
      <c r="F22" t="s">
        <v>588</v>
      </c>
      <c r="G22" t="s">
        <v>589</v>
      </c>
      <c r="H22">
        <v>2024</v>
      </c>
      <c r="I22">
        <v>2023</v>
      </c>
      <c r="J22">
        <v>2022</v>
      </c>
      <c r="K22">
        <v>2021</v>
      </c>
      <c r="L22" t="s">
        <v>661</v>
      </c>
      <c r="M22" t="s">
        <v>590</v>
      </c>
      <c r="N22" t="s">
        <v>514</v>
      </c>
      <c r="O22" t="s">
        <v>591</v>
      </c>
      <c r="P22" t="s">
        <v>592</v>
      </c>
      <c r="Q22" t="s">
        <v>515</v>
      </c>
      <c r="R22" t="s">
        <v>117</v>
      </c>
      <c r="S22" t="s">
        <v>473</v>
      </c>
      <c r="T22" t="s">
        <v>461</v>
      </c>
      <c r="U22" t="s">
        <v>473</v>
      </c>
      <c r="V22" t="s">
        <v>516</v>
      </c>
      <c r="W22" t="s">
        <v>515</v>
      </c>
      <c r="X22" t="s">
        <v>367</v>
      </c>
    </row>
    <row r="23" spans="1:25" ht="14.25" customHeight="1" x14ac:dyDescent="0.35">
      <c r="A23" t="s">
        <v>85</v>
      </c>
      <c r="B23" t="s">
        <v>293</v>
      </c>
      <c r="C23" t="s">
        <v>662</v>
      </c>
      <c r="D23" t="s">
        <v>663</v>
      </c>
      <c r="E23" t="s">
        <v>664</v>
      </c>
      <c r="F23" t="s">
        <v>517</v>
      </c>
      <c r="G23" t="s">
        <v>518</v>
      </c>
      <c r="H23">
        <v>2024</v>
      </c>
      <c r="I23">
        <v>2023</v>
      </c>
      <c r="J23">
        <v>2022</v>
      </c>
      <c r="K23">
        <v>2021</v>
      </c>
      <c r="L23" t="s">
        <v>519</v>
      </c>
      <c r="M23" t="s">
        <v>593</v>
      </c>
      <c r="N23" t="s">
        <v>367</v>
      </c>
      <c r="O23" t="s">
        <v>665</v>
      </c>
      <c r="P23" t="s">
        <v>520</v>
      </c>
      <c r="Q23" t="s">
        <v>521</v>
      </c>
      <c r="R23" t="s">
        <v>367</v>
      </c>
      <c r="S23" t="s">
        <v>522</v>
      </c>
      <c r="T23" t="s">
        <v>666</v>
      </c>
      <c r="U23" t="s">
        <v>666</v>
      </c>
      <c r="V23" t="s">
        <v>523</v>
      </c>
      <c r="W23" t="s">
        <v>667</v>
      </c>
      <c r="X23" t="s">
        <v>524</v>
      </c>
      <c r="Y23">
        <v>0</v>
      </c>
    </row>
    <row r="24" spans="1:25" ht="14.25" customHeight="1" x14ac:dyDescent="0.35">
      <c r="A24" t="s">
        <v>89</v>
      </c>
      <c r="B24" t="s">
        <v>297</v>
      </c>
      <c r="C24" t="s">
        <v>525</v>
      </c>
      <c r="D24" t="s">
        <v>526</v>
      </c>
      <c r="E24" t="s">
        <v>527</v>
      </c>
      <c r="F24" t="s">
        <v>323</v>
      </c>
      <c r="G24" t="s">
        <v>528</v>
      </c>
      <c r="H24">
        <v>2024</v>
      </c>
      <c r="I24">
        <v>2023</v>
      </c>
      <c r="J24">
        <v>2022</v>
      </c>
      <c r="K24">
        <v>2021</v>
      </c>
      <c r="L24" t="s">
        <v>367</v>
      </c>
      <c r="M24" t="s">
        <v>367</v>
      </c>
      <c r="N24" t="s">
        <v>367</v>
      </c>
      <c r="O24" t="s">
        <v>529</v>
      </c>
      <c r="P24" t="s">
        <v>530</v>
      </c>
      <c r="Q24" t="s">
        <v>531</v>
      </c>
      <c r="R24" t="s">
        <v>117</v>
      </c>
      <c r="S24" t="s">
        <v>367</v>
      </c>
      <c r="T24" t="s">
        <v>367</v>
      </c>
      <c r="U24" t="s">
        <v>367</v>
      </c>
      <c r="V24" t="s">
        <v>532</v>
      </c>
      <c r="W24" t="s">
        <v>532</v>
      </c>
      <c r="X24" t="s">
        <v>367</v>
      </c>
      <c r="Y24">
        <v>0</v>
      </c>
    </row>
    <row r="25" spans="1:25" ht="14.25" customHeight="1" x14ac:dyDescent="0.35">
      <c r="A25" t="s">
        <v>86</v>
      </c>
      <c r="B25" t="s">
        <v>294</v>
      </c>
      <c r="C25" t="s">
        <v>533</v>
      </c>
      <c r="D25" t="s">
        <v>668</v>
      </c>
      <c r="E25" t="s">
        <v>669</v>
      </c>
      <c r="F25" t="s">
        <v>534</v>
      </c>
      <c r="G25" t="s">
        <v>331</v>
      </c>
      <c r="H25">
        <v>2024</v>
      </c>
      <c r="I25">
        <v>2023</v>
      </c>
      <c r="J25">
        <v>2022</v>
      </c>
      <c r="K25">
        <v>2021</v>
      </c>
      <c r="L25" t="s">
        <v>461</v>
      </c>
      <c r="M25" t="s">
        <v>367</v>
      </c>
      <c r="N25" t="s">
        <v>367</v>
      </c>
      <c r="O25" t="s">
        <v>594</v>
      </c>
      <c r="P25" t="s">
        <v>535</v>
      </c>
      <c r="Q25" t="s">
        <v>473</v>
      </c>
      <c r="R25" t="s">
        <v>473</v>
      </c>
      <c r="S25" t="s">
        <v>536</v>
      </c>
      <c r="T25" t="s">
        <v>537</v>
      </c>
      <c r="U25" t="s">
        <v>537</v>
      </c>
      <c r="V25" t="s">
        <v>538</v>
      </c>
      <c r="W25" t="s">
        <v>539</v>
      </c>
      <c r="X25" t="s">
        <v>540</v>
      </c>
      <c r="Y25">
        <v>0</v>
      </c>
    </row>
    <row r="26" spans="1:25" ht="14.25" customHeight="1" x14ac:dyDescent="0.35">
      <c r="A26" t="s">
        <v>87</v>
      </c>
      <c r="B26" t="s">
        <v>295</v>
      </c>
      <c r="C26" t="s">
        <v>541</v>
      </c>
      <c r="D26" t="s">
        <v>542</v>
      </c>
      <c r="E26" t="s">
        <v>595</v>
      </c>
      <c r="F26" t="s">
        <v>517</v>
      </c>
      <c r="G26" t="s">
        <v>543</v>
      </c>
      <c r="H26">
        <v>2024</v>
      </c>
      <c r="I26">
        <v>2023</v>
      </c>
      <c r="J26">
        <v>2022</v>
      </c>
      <c r="K26">
        <v>2021</v>
      </c>
      <c r="L26" t="s">
        <v>596</v>
      </c>
      <c r="M26" t="s">
        <v>367</v>
      </c>
      <c r="N26" t="s">
        <v>367</v>
      </c>
      <c r="O26" t="s">
        <v>544</v>
      </c>
      <c r="P26" t="s">
        <v>545</v>
      </c>
      <c r="Q26" t="s">
        <v>546</v>
      </c>
      <c r="R26" t="s">
        <v>117</v>
      </c>
      <c r="S26" t="s">
        <v>367</v>
      </c>
      <c r="T26" t="s">
        <v>367</v>
      </c>
      <c r="U26" t="s">
        <v>367</v>
      </c>
      <c r="V26" t="s">
        <v>547</v>
      </c>
      <c r="W26" t="s">
        <v>548</v>
      </c>
      <c r="X26" t="s">
        <v>367</v>
      </c>
      <c r="Y26">
        <v>0</v>
      </c>
    </row>
    <row r="27" spans="1:25" ht="14.25" customHeight="1" x14ac:dyDescent="0.35">
      <c r="A27" t="s">
        <v>64</v>
      </c>
      <c r="B27" t="s">
        <v>271</v>
      </c>
      <c r="C27" t="s">
        <v>476</v>
      </c>
      <c r="D27" s="20" t="s">
        <v>478</v>
      </c>
      <c r="E27" s="20" t="s">
        <v>477</v>
      </c>
      <c r="F27" t="s">
        <v>475</v>
      </c>
      <c r="G27" t="s">
        <v>453</v>
      </c>
      <c r="H27">
        <v>2024</v>
      </c>
      <c r="I27">
        <v>2023</v>
      </c>
      <c r="J27">
        <v>2022</v>
      </c>
      <c r="K27">
        <v>2021</v>
      </c>
      <c r="L27" s="20" t="s">
        <v>479</v>
      </c>
      <c r="M27" t="s">
        <v>670</v>
      </c>
      <c r="N27" t="s">
        <v>367</v>
      </c>
      <c r="O27" s="20" t="s">
        <v>671</v>
      </c>
      <c r="P27" s="20" t="s">
        <v>454</v>
      </c>
      <c r="Q27" s="20" t="s">
        <v>455</v>
      </c>
      <c r="R27" t="s">
        <v>413</v>
      </c>
      <c r="S27" t="s">
        <v>473</v>
      </c>
      <c r="T27" t="s">
        <v>367</v>
      </c>
      <c r="U27" t="s">
        <v>367</v>
      </c>
      <c r="V27" s="20" t="s">
        <v>672</v>
      </c>
      <c r="W27" s="20" t="s">
        <v>673</v>
      </c>
      <c r="X27" t="s">
        <v>367</v>
      </c>
      <c r="Y27" t="s">
        <v>674</v>
      </c>
    </row>
    <row r="28" spans="1:25" ht="14.25" customHeight="1" x14ac:dyDescent="0.35">
      <c r="A28" t="s">
        <v>72</v>
      </c>
      <c r="B28" t="s">
        <v>275</v>
      </c>
      <c r="C28" t="s">
        <v>358</v>
      </c>
      <c r="D28" t="s">
        <v>675</v>
      </c>
      <c r="E28" t="s">
        <v>676</v>
      </c>
      <c r="F28" t="s">
        <v>597</v>
      </c>
      <c r="G28" t="s">
        <v>598</v>
      </c>
      <c r="H28">
        <v>2024</v>
      </c>
      <c r="I28" t="s">
        <v>182</v>
      </c>
      <c r="J28" t="s">
        <v>182</v>
      </c>
      <c r="K28" t="s">
        <v>182</v>
      </c>
      <c r="L28" t="s">
        <v>599</v>
      </c>
      <c r="M28" t="s">
        <v>359</v>
      </c>
      <c r="N28" s="20" t="s">
        <v>360</v>
      </c>
      <c r="O28" t="s">
        <v>600</v>
      </c>
      <c r="P28" t="s">
        <v>495</v>
      </c>
      <c r="Q28" t="s">
        <v>496</v>
      </c>
      <c r="R28" t="s">
        <v>117</v>
      </c>
      <c r="S28" t="s">
        <v>361</v>
      </c>
      <c r="T28" t="s">
        <v>361</v>
      </c>
      <c r="U28" t="s">
        <v>361</v>
      </c>
      <c r="V28" t="s">
        <v>362</v>
      </c>
      <c r="W28" t="s">
        <v>362</v>
      </c>
      <c r="X28" t="s">
        <v>367</v>
      </c>
      <c r="Y28" s="20">
        <v>0</v>
      </c>
    </row>
  </sheetData>
  <autoFilter ref="A1:AD27" xr:uid="{FC624599-D19D-4FAE-B2A6-6ED3AC6472E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1:D29"/>
  <sheetViews>
    <sheetView workbookViewId="0">
      <selection activeCell="F10" sqref="F10"/>
    </sheetView>
  </sheetViews>
  <sheetFormatPr defaultColWidth="9.1796875" defaultRowHeight="14.5" x14ac:dyDescent="0.35"/>
  <cols>
    <col min="1" max="1" width="11.453125" customWidth="1"/>
    <col min="3" max="3" width="11.1796875" customWidth="1"/>
  </cols>
  <sheetData>
    <row r="1" spans="1:4" x14ac:dyDescent="0.35">
      <c r="A1" s="1" t="s">
        <v>35</v>
      </c>
      <c r="C1" s="1" t="s">
        <v>63</v>
      </c>
      <c r="D1" s="1" t="s">
        <v>170</v>
      </c>
    </row>
    <row r="2" spans="1:4" x14ac:dyDescent="0.35">
      <c r="A2" t="s">
        <v>182</v>
      </c>
      <c r="C2" t="s">
        <v>107</v>
      </c>
      <c r="D2" t="s">
        <v>182</v>
      </c>
    </row>
    <row r="3" spans="1:4" x14ac:dyDescent="0.35">
      <c r="A3" t="s">
        <v>36</v>
      </c>
      <c r="B3" t="s">
        <v>271</v>
      </c>
      <c r="C3" t="s">
        <v>64</v>
      </c>
      <c r="D3">
        <v>2020</v>
      </c>
    </row>
    <row r="4" spans="1:4" x14ac:dyDescent="0.35">
      <c r="A4" t="s">
        <v>37</v>
      </c>
      <c r="B4" t="s">
        <v>280</v>
      </c>
      <c r="C4" t="s">
        <v>65</v>
      </c>
      <c r="D4">
        <v>2021</v>
      </c>
    </row>
    <row r="5" spans="1:4" x14ac:dyDescent="0.35">
      <c r="A5" t="s">
        <v>38</v>
      </c>
      <c r="B5" t="s">
        <v>272</v>
      </c>
      <c r="C5" t="s">
        <v>438</v>
      </c>
      <c r="D5">
        <v>2022</v>
      </c>
    </row>
    <row r="6" spans="1:4" x14ac:dyDescent="0.35">
      <c r="A6" t="s">
        <v>39</v>
      </c>
      <c r="B6" t="s">
        <v>281</v>
      </c>
      <c r="C6" t="s">
        <v>66</v>
      </c>
      <c r="D6">
        <v>2023</v>
      </c>
    </row>
    <row r="7" spans="1:4" x14ac:dyDescent="0.35">
      <c r="A7" t="s">
        <v>40</v>
      </c>
      <c r="B7" t="s">
        <v>273</v>
      </c>
      <c r="C7" t="s">
        <v>67</v>
      </c>
      <c r="D7">
        <v>2024</v>
      </c>
    </row>
    <row r="8" spans="1:4" x14ac:dyDescent="0.35">
      <c r="A8" t="s">
        <v>41</v>
      </c>
      <c r="B8" t="s">
        <v>282</v>
      </c>
      <c r="C8" t="s">
        <v>68</v>
      </c>
      <c r="D8">
        <v>2025</v>
      </c>
    </row>
    <row r="9" spans="1:4" x14ac:dyDescent="0.35">
      <c r="A9" t="s">
        <v>42</v>
      </c>
      <c r="B9" t="s">
        <v>283</v>
      </c>
      <c r="C9" t="s">
        <v>69</v>
      </c>
    </row>
    <row r="10" spans="1:4" x14ac:dyDescent="0.35">
      <c r="A10" t="s">
        <v>43</v>
      </c>
      <c r="B10" t="s">
        <v>284</v>
      </c>
      <c r="C10" t="s">
        <v>70</v>
      </c>
    </row>
    <row r="11" spans="1:4" x14ac:dyDescent="0.35">
      <c r="A11" t="s">
        <v>44</v>
      </c>
      <c r="B11" t="s">
        <v>274</v>
      </c>
      <c r="C11" t="s">
        <v>71</v>
      </c>
    </row>
    <row r="12" spans="1:4" x14ac:dyDescent="0.35">
      <c r="A12" t="s">
        <v>45</v>
      </c>
      <c r="B12" t="s">
        <v>275</v>
      </c>
      <c r="C12" t="s">
        <v>72</v>
      </c>
    </row>
    <row r="13" spans="1:4" x14ac:dyDescent="0.35">
      <c r="A13" t="s">
        <v>46</v>
      </c>
      <c r="B13" t="s">
        <v>285</v>
      </c>
      <c r="C13" t="s">
        <v>73</v>
      </c>
    </row>
    <row r="14" spans="1:4" x14ac:dyDescent="0.35">
      <c r="A14" t="s">
        <v>47</v>
      </c>
      <c r="B14" t="s">
        <v>276</v>
      </c>
      <c r="C14" t="s">
        <v>74</v>
      </c>
    </row>
    <row r="15" spans="1:4" x14ac:dyDescent="0.35">
      <c r="B15" t="s">
        <v>277</v>
      </c>
      <c r="C15" t="s">
        <v>75</v>
      </c>
    </row>
    <row r="16" spans="1:4" x14ac:dyDescent="0.35">
      <c r="B16" t="s">
        <v>286</v>
      </c>
      <c r="C16" t="s">
        <v>76</v>
      </c>
    </row>
    <row r="17" spans="2:3" x14ac:dyDescent="0.35">
      <c r="B17" t="s">
        <v>287</v>
      </c>
      <c r="C17" t="s">
        <v>77</v>
      </c>
    </row>
    <row r="18" spans="2:3" x14ac:dyDescent="0.35">
      <c r="B18" t="s">
        <v>278</v>
      </c>
      <c r="C18" t="s">
        <v>78</v>
      </c>
    </row>
    <row r="19" spans="2:3" x14ac:dyDescent="0.35">
      <c r="B19" t="s">
        <v>279</v>
      </c>
      <c r="C19" t="s">
        <v>79</v>
      </c>
    </row>
    <row r="20" spans="2:3" x14ac:dyDescent="0.35">
      <c r="B20" t="s">
        <v>288</v>
      </c>
      <c r="C20" t="s">
        <v>80</v>
      </c>
    </row>
    <row r="21" spans="2:3" x14ac:dyDescent="0.35">
      <c r="B21" t="s">
        <v>289</v>
      </c>
      <c r="C21" t="s">
        <v>81</v>
      </c>
    </row>
    <row r="22" spans="2:3" x14ac:dyDescent="0.35">
      <c r="B22" t="s">
        <v>290</v>
      </c>
      <c r="C22" t="s">
        <v>82</v>
      </c>
    </row>
    <row r="23" spans="2:3" x14ac:dyDescent="0.35">
      <c r="B23" t="s">
        <v>291</v>
      </c>
      <c r="C23" t="s">
        <v>83</v>
      </c>
    </row>
    <row r="24" spans="2:3" x14ac:dyDescent="0.35">
      <c r="B24" t="s">
        <v>292</v>
      </c>
      <c r="C24" t="s">
        <v>84</v>
      </c>
    </row>
    <row r="25" spans="2:3" x14ac:dyDescent="0.35">
      <c r="B25" t="s">
        <v>293</v>
      </c>
      <c r="C25" t="s">
        <v>85</v>
      </c>
    </row>
    <row r="26" spans="2:3" x14ac:dyDescent="0.35">
      <c r="B26" t="s">
        <v>294</v>
      </c>
      <c r="C26" t="s">
        <v>86</v>
      </c>
    </row>
    <row r="27" spans="2:3" x14ac:dyDescent="0.35">
      <c r="B27" t="s">
        <v>295</v>
      </c>
      <c r="C27" t="s">
        <v>87</v>
      </c>
    </row>
    <row r="28" spans="2:3" x14ac:dyDescent="0.35">
      <c r="B28" t="s">
        <v>296</v>
      </c>
      <c r="C28" t="s">
        <v>88</v>
      </c>
    </row>
    <row r="29" spans="2:3" x14ac:dyDescent="0.35">
      <c r="B29" t="s">
        <v>297</v>
      </c>
      <c r="C29" t="s">
        <v>89</v>
      </c>
    </row>
  </sheetData>
  <pageMargins left="0.23622047244094491" right="0.23622047244094491" top="0.74803149606299213" bottom="0.74803149606299213" header="0.31496062992125984" footer="0.31496062992125984"/>
  <pageSetup paperSize="9" orientation="landscape" r:id="rId1"/>
  <headerFooter>
    <oddFooter>&amp;LYG monitoring (pilot)&amp;R&amp;A\&amp;P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44"/>
  <sheetViews>
    <sheetView topLeftCell="A8" workbookViewId="0">
      <selection activeCell="B1" sqref="A1:B1"/>
    </sheetView>
  </sheetViews>
  <sheetFormatPr defaultColWidth="9.1796875" defaultRowHeight="14.5" x14ac:dyDescent="0.35"/>
  <cols>
    <col min="1" max="1" width="1.81640625" style="29" customWidth="1"/>
    <col min="2" max="2" width="23.54296875" style="29" customWidth="1"/>
    <col min="3" max="4" width="10.7265625" style="29" bestFit="1" customWidth="1"/>
    <col min="5" max="16384" width="9.1796875" style="29"/>
  </cols>
  <sheetData>
    <row r="1" spans="1:14" s="28" customFormat="1" ht="18.5" x14ac:dyDescent="0.35">
      <c r="A1" s="27" t="s">
        <v>0</v>
      </c>
    </row>
    <row r="2" spans="1:14" s="28" customFormat="1" x14ac:dyDescent="0.35">
      <c r="A2" s="74" t="s">
        <v>606</v>
      </c>
      <c r="B2" s="28" t="s">
        <v>133</v>
      </c>
    </row>
    <row r="3" spans="1:14" s="28" customFormat="1" x14ac:dyDescent="0.35">
      <c r="A3" s="74"/>
      <c r="B3" s="253" t="s">
        <v>607</v>
      </c>
      <c r="C3" s="253"/>
      <c r="D3" s="253"/>
      <c r="E3" s="253"/>
      <c r="F3" s="253"/>
      <c r="G3" s="253"/>
    </row>
    <row r="4" spans="1:14" s="28" customFormat="1" ht="18.5" x14ac:dyDescent="0.35">
      <c r="A4" s="27"/>
      <c r="B4" s="254" t="s">
        <v>605</v>
      </c>
      <c r="C4" s="254"/>
      <c r="D4" s="254"/>
      <c r="E4" s="254"/>
      <c r="F4" s="254"/>
      <c r="G4" s="254"/>
    </row>
    <row r="6" spans="1:14" x14ac:dyDescent="0.35">
      <c r="A6" s="36" t="s">
        <v>134</v>
      </c>
    </row>
    <row r="7" spans="1:14" ht="34.5" customHeight="1" x14ac:dyDescent="0.35">
      <c r="A7" s="255" t="s">
        <v>138</v>
      </c>
      <c r="B7" s="255"/>
      <c r="C7" s="255"/>
      <c r="D7" s="255"/>
      <c r="E7" s="255"/>
      <c r="F7" s="255"/>
      <c r="G7" s="255"/>
      <c r="H7" s="255"/>
      <c r="I7" s="255"/>
      <c r="J7" s="255"/>
      <c r="K7" s="255"/>
      <c r="L7" s="255"/>
      <c r="M7" s="255"/>
      <c r="N7" s="255"/>
    </row>
    <row r="8" spans="1:14" ht="30" customHeight="1" x14ac:dyDescent="0.35">
      <c r="A8" s="255" t="s">
        <v>139</v>
      </c>
      <c r="B8" s="255"/>
      <c r="C8" s="255"/>
      <c r="D8" s="255"/>
      <c r="E8" s="255"/>
      <c r="F8" s="255"/>
      <c r="G8" s="255"/>
      <c r="H8" s="255"/>
      <c r="I8" s="255"/>
      <c r="J8" s="255"/>
      <c r="K8" s="255"/>
      <c r="L8" s="255"/>
      <c r="M8" s="255"/>
      <c r="N8" s="255"/>
    </row>
    <row r="9" spans="1:14" x14ac:dyDescent="0.35">
      <c r="A9" s="29" t="s">
        <v>33</v>
      </c>
    </row>
    <row r="10" spans="1:14" x14ac:dyDescent="0.35">
      <c r="B10" s="29" t="s">
        <v>135</v>
      </c>
    </row>
    <row r="11" spans="1:14" x14ac:dyDescent="0.35">
      <c r="B11" s="29" t="s">
        <v>449</v>
      </c>
    </row>
    <row r="12" spans="1:14" ht="18" customHeight="1" x14ac:dyDescent="0.35">
      <c r="B12" s="29" t="s">
        <v>136</v>
      </c>
    </row>
    <row r="13" spans="1:14" ht="34.5" customHeight="1" x14ac:dyDescent="0.35">
      <c r="A13" s="256" t="s">
        <v>140</v>
      </c>
      <c r="B13" s="256"/>
      <c r="C13" s="256"/>
      <c r="D13" s="256"/>
      <c r="E13" s="256"/>
      <c r="F13" s="256"/>
      <c r="G13" s="256"/>
      <c r="H13" s="256"/>
      <c r="I13" s="256"/>
      <c r="J13" s="256"/>
      <c r="K13" s="256"/>
      <c r="L13" s="256"/>
      <c r="M13" s="256"/>
      <c r="N13" s="256"/>
    </row>
    <row r="15" spans="1:14" s="38" customFormat="1" x14ac:dyDescent="0.35">
      <c r="A15" s="36" t="s">
        <v>137</v>
      </c>
    </row>
    <row r="16" spans="1:14" ht="34.5" customHeight="1" x14ac:dyDescent="0.35">
      <c r="A16" s="255" t="s">
        <v>144</v>
      </c>
      <c r="B16" s="255"/>
      <c r="C16" s="255"/>
      <c r="D16" s="255"/>
      <c r="E16" s="255"/>
      <c r="F16" s="255"/>
      <c r="G16" s="255"/>
      <c r="H16" s="255"/>
      <c r="I16" s="255"/>
      <c r="J16" s="255"/>
      <c r="K16" s="255"/>
      <c r="L16" s="255"/>
      <c r="M16" s="255"/>
      <c r="N16" s="255"/>
    </row>
    <row r="17" spans="1:14" ht="18" customHeight="1" x14ac:dyDescent="0.35">
      <c r="A17" s="29" t="s">
        <v>34</v>
      </c>
    </row>
    <row r="18" spans="1:14" ht="34.5" customHeight="1" x14ac:dyDescent="0.35">
      <c r="A18" s="255" t="s">
        <v>141</v>
      </c>
      <c r="B18" s="255"/>
      <c r="C18" s="255"/>
      <c r="D18" s="255"/>
      <c r="E18" s="255"/>
      <c r="F18" s="255"/>
      <c r="G18" s="255"/>
      <c r="H18" s="255"/>
      <c r="I18" s="255"/>
      <c r="J18" s="255"/>
      <c r="K18" s="255"/>
      <c r="L18" s="255"/>
      <c r="M18" s="255"/>
      <c r="N18" s="255"/>
    </row>
    <row r="20" spans="1:14" x14ac:dyDescent="0.35">
      <c r="A20" s="36" t="s">
        <v>142</v>
      </c>
    </row>
    <row r="21" spans="1:14" ht="34.5" customHeight="1" x14ac:dyDescent="0.35">
      <c r="A21" s="255" t="s">
        <v>143</v>
      </c>
      <c r="B21" s="255"/>
      <c r="C21" s="255"/>
      <c r="D21" s="255"/>
      <c r="E21" s="255"/>
      <c r="F21" s="255"/>
      <c r="G21" s="255"/>
      <c r="H21" s="255"/>
      <c r="I21" s="255"/>
      <c r="J21" s="255"/>
      <c r="K21" s="255"/>
      <c r="L21" s="255"/>
      <c r="M21" s="255"/>
      <c r="N21" s="255"/>
    </row>
    <row r="22" spans="1:14" ht="34.5" customHeight="1" x14ac:dyDescent="0.35">
      <c r="A22" s="255" t="s">
        <v>145</v>
      </c>
      <c r="B22" s="255"/>
      <c r="C22" s="255"/>
      <c r="D22" s="255"/>
      <c r="E22" s="255"/>
      <c r="F22" s="255"/>
      <c r="G22" s="255"/>
      <c r="H22" s="255"/>
      <c r="I22" s="255"/>
      <c r="J22" s="255"/>
      <c r="K22" s="255"/>
      <c r="L22" s="255"/>
      <c r="M22" s="255"/>
      <c r="N22" s="255"/>
    </row>
    <row r="23" spans="1:14" ht="48" customHeight="1" x14ac:dyDescent="0.35">
      <c r="A23" s="255" t="s">
        <v>146</v>
      </c>
      <c r="B23" s="255"/>
      <c r="C23" s="255"/>
      <c r="D23" s="255"/>
      <c r="E23" s="255"/>
      <c r="F23" s="255"/>
      <c r="G23" s="255"/>
      <c r="H23" s="255"/>
      <c r="I23" s="255"/>
      <c r="J23" s="255"/>
      <c r="K23" s="255"/>
      <c r="L23" s="255"/>
      <c r="M23" s="255"/>
      <c r="N23" s="255"/>
    </row>
    <row r="24" spans="1:14" x14ac:dyDescent="0.35">
      <c r="A24" s="35"/>
      <c r="B24" s="35"/>
      <c r="C24" s="35"/>
      <c r="D24" s="35"/>
      <c r="E24" s="35"/>
      <c r="F24" s="35"/>
      <c r="G24" s="35"/>
      <c r="H24" s="35"/>
      <c r="I24" s="35"/>
      <c r="J24" s="35"/>
      <c r="K24" s="35"/>
      <c r="L24" s="35"/>
      <c r="M24" s="35"/>
      <c r="N24" s="35"/>
    </row>
    <row r="25" spans="1:14" x14ac:dyDescent="0.35">
      <c r="A25" s="36" t="s">
        <v>219</v>
      </c>
    </row>
    <row r="26" spans="1:14" x14ac:dyDescent="0.35">
      <c r="A26" s="29" t="s">
        <v>147</v>
      </c>
    </row>
    <row r="27" spans="1:14" x14ac:dyDescent="0.35">
      <c r="A27" s="29" t="s">
        <v>159</v>
      </c>
    </row>
    <row r="28" spans="1:14" x14ac:dyDescent="0.35">
      <c r="B28" s="75" t="s">
        <v>450</v>
      </c>
    </row>
    <row r="29" spans="1:14" x14ac:dyDescent="0.35">
      <c r="B29" s="75" t="s">
        <v>160</v>
      </c>
    </row>
    <row r="30" spans="1:14" x14ac:dyDescent="0.35">
      <c r="B30" t="s">
        <v>452</v>
      </c>
    </row>
    <row r="31" spans="1:14" x14ac:dyDescent="0.35">
      <c r="B31" t="s">
        <v>451</v>
      </c>
    </row>
    <row r="33" spans="1:4" x14ac:dyDescent="0.35">
      <c r="A33" s="36" t="s">
        <v>220</v>
      </c>
    </row>
    <row r="34" spans="1:4" x14ac:dyDescent="0.35">
      <c r="A34" s="29" t="s">
        <v>153</v>
      </c>
    </row>
    <row r="35" spans="1:4" x14ac:dyDescent="0.35">
      <c r="A35" s="29" t="s">
        <v>31</v>
      </c>
    </row>
    <row r="36" spans="1:4" x14ac:dyDescent="0.35">
      <c r="B36" s="29" t="s">
        <v>1</v>
      </c>
      <c r="C36" s="29" t="s">
        <v>150</v>
      </c>
    </row>
    <row r="37" spans="1:4" x14ac:dyDescent="0.35">
      <c r="B37" s="29" t="s">
        <v>128</v>
      </c>
      <c r="C37" s="37" t="s">
        <v>151</v>
      </c>
      <c r="D37" s="37"/>
    </row>
    <row r="38" spans="1:4" x14ac:dyDescent="0.35">
      <c r="B38" s="29" t="s">
        <v>129</v>
      </c>
      <c r="C38" s="29" t="s">
        <v>148</v>
      </c>
    </row>
    <row r="39" spans="1:4" x14ac:dyDescent="0.35">
      <c r="B39" s="29" t="s">
        <v>130</v>
      </c>
      <c r="C39" s="29" t="s">
        <v>149</v>
      </c>
    </row>
    <row r="41" spans="1:4" x14ac:dyDescent="0.35">
      <c r="A41" s="36" t="s">
        <v>152</v>
      </c>
    </row>
    <row r="42" spans="1:4" x14ac:dyDescent="0.35">
      <c r="A42" s="29" t="s">
        <v>154</v>
      </c>
    </row>
    <row r="43" spans="1:4" x14ac:dyDescent="0.35">
      <c r="A43" s="29" t="s">
        <v>32</v>
      </c>
    </row>
    <row r="44" spans="1:4" x14ac:dyDescent="0.35">
      <c r="B44" s="29" t="s">
        <v>1</v>
      </c>
      <c r="C44" s="29" t="s">
        <v>150</v>
      </c>
    </row>
  </sheetData>
  <sheetProtection algorithmName="SHA-512" hashValue="QpJvm7fLrCNAQ5H9lot+iqTLib9W0Qs8Cndh/BPEqZ7csw4eayWCfSxutU9EZoH6pkQbC+Fookb6ESR1lDj4NQ==" saltValue="L7H/UIIliQWHETHxFCj4UQ==" spinCount="100000" sheet="1" objects="1" scenarios="1" formatCells="0" formatColumns="0"/>
  <mergeCells count="10">
    <mergeCell ref="B3:G3"/>
    <mergeCell ref="B4:G4"/>
    <mergeCell ref="A22:N22"/>
    <mergeCell ref="A23:N23"/>
    <mergeCell ref="A7:N7"/>
    <mergeCell ref="A8:N8"/>
    <mergeCell ref="A13:N13"/>
    <mergeCell ref="A16:N16"/>
    <mergeCell ref="A18:N18"/>
    <mergeCell ref="A21:N21"/>
  </mergeCells>
  <hyperlinks>
    <hyperlink ref="B3" r:id="rId1" xr:uid="{D4A7622F-E9F0-4F98-BE03-0845970E3D11}"/>
  </hyperlinks>
  <pageMargins left="0.23622047244094491" right="0.23622047244094491" top="0.74803149606299213" bottom="0.74803149606299213" header="0.31496062992125984" footer="0.31496062992125984"/>
  <pageSetup paperSize="9" orientation="landscape" r:id="rId2"/>
  <headerFooter>
    <oddFooter>&amp;LYG monitoring (pilot)&amp;R&amp;A\&amp;P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43"/>
  <sheetViews>
    <sheetView tabSelected="1" topLeftCell="A8" zoomScale="80" zoomScaleNormal="80" workbookViewId="0">
      <selection activeCell="C43" sqref="C43:H43"/>
    </sheetView>
  </sheetViews>
  <sheetFormatPr defaultColWidth="9.1796875" defaultRowHeight="14.5" x14ac:dyDescent="0.35"/>
  <cols>
    <col min="1" max="1" width="5.1796875" style="29" customWidth="1"/>
    <col min="2" max="2" width="41" style="186" customWidth="1"/>
    <col min="3" max="5" width="24.7265625" style="186" customWidth="1"/>
    <col min="6" max="8" width="24.7265625" style="29" customWidth="1"/>
    <col min="9" max="16384" width="9.1796875" style="29"/>
  </cols>
  <sheetData>
    <row r="1" spans="1:8" s="28" customFormat="1" ht="18.5" x14ac:dyDescent="0.35">
      <c r="A1" s="27" t="s">
        <v>222</v>
      </c>
      <c r="B1" s="194"/>
      <c r="C1" s="194"/>
      <c r="D1" s="194"/>
      <c r="E1" s="194"/>
    </row>
    <row r="2" spans="1:8" s="28" customFormat="1" x14ac:dyDescent="0.35">
      <c r="A2" s="195" t="s">
        <v>268</v>
      </c>
      <c r="B2" s="194"/>
      <c r="C2" s="194"/>
      <c r="D2" s="194"/>
      <c r="E2" s="194"/>
    </row>
    <row r="3" spans="1:8" s="28" customFormat="1" x14ac:dyDescent="0.35">
      <c r="A3" s="195" t="s">
        <v>269</v>
      </c>
      <c r="B3" s="194"/>
      <c r="C3" s="194"/>
      <c r="D3" s="194"/>
      <c r="E3" s="194"/>
    </row>
    <row r="4" spans="1:8" ht="15" thickBot="1" x14ac:dyDescent="0.4">
      <c r="A4" s="196"/>
      <c r="B4" s="197"/>
    </row>
    <row r="5" spans="1:8" ht="15" thickBot="1" x14ac:dyDescent="0.4">
      <c r="A5" s="198" t="s">
        <v>59</v>
      </c>
      <c r="B5" s="199" t="s">
        <v>60</v>
      </c>
      <c r="C5" s="202" t="s">
        <v>68</v>
      </c>
    </row>
    <row r="6" spans="1:8" x14ac:dyDescent="0.35">
      <c r="A6" s="200"/>
      <c r="B6" s="197"/>
    </row>
    <row r="7" spans="1:8" ht="18.5" x14ac:dyDescent="0.35">
      <c r="A7" s="200"/>
      <c r="B7" s="197"/>
      <c r="C7" s="270">
        <v>2024</v>
      </c>
      <c r="D7" s="270"/>
      <c r="E7" s="270"/>
      <c r="F7" s="271">
        <v>2025</v>
      </c>
      <c r="G7" s="271"/>
      <c r="H7" s="271"/>
    </row>
    <row r="8" spans="1:8" ht="15" thickBot="1" x14ac:dyDescent="0.4"/>
    <row r="9" spans="1:8" ht="15" thickBot="1" x14ac:dyDescent="0.4">
      <c r="A9" s="169" t="s">
        <v>61</v>
      </c>
      <c r="B9" s="187" t="s">
        <v>263</v>
      </c>
      <c r="C9" s="201"/>
      <c r="D9" s="201"/>
      <c r="E9" s="201"/>
      <c r="F9" s="280"/>
      <c r="G9" s="280"/>
      <c r="H9" s="281"/>
    </row>
    <row r="10" spans="1:8" ht="18" customHeight="1" x14ac:dyDescent="0.35">
      <c r="A10" s="166" t="s">
        <v>94</v>
      </c>
      <c r="B10" s="170" t="s">
        <v>90</v>
      </c>
      <c r="C10" s="298" t="str">
        <f>IF(VLOOKUP(Metadata_Q1,Metadata_T1,3,FALSE)=0,"-",(VLOOKUP(Metadata_Q1,Metadata_T1,3,FALSE)))</f>
        <v xml:space="preserve"> - Estonian Unemployment Insurance Fund (PES)
</v>
      </c>
      <c r="D10" s="299"/>
      <c r="E10" s="300"/>
      <c r="F10" s="274" t="s">
        <v>688</v>
      </c>
      <c r="G10" s="275"/>
      <c r="H10" s="276"/>
    </row>
    <row r="11" spans="1:8" ht="43" customHeight="1" x14ac:dyDescent="0.35">
      <c r="A11" s="166" t="s">
        <v>95</v>
      </c>
      <c r="B11" s="170" t="s">
        <v>91</v>
      </c>
      <c r="C11" s="298" t="str">
        <f>IF(VLOOKUP(Metadata_Q1,Metadata_T1,4,FALSE)=0,"-",(VLOOKUP(Metadata_Q1,Metadata_T1,4,FALSE)))</f>
        <v xml:space="preserve">PES: Indrek Polding
</v>
      </c>
      <c r="D11" s="299"/>
      <c r="E11" s="300"/>
      <c r="F11" s="282" t="s">
        <v>686</v>
      </c>
      <c r="G11" s="283"/>
      <c r="H11" s="284"/>
    </row>
    <row r="12" spans="1:8" ht="17.25" customHeight="1" thickBot="1" x14ac:dyDescent="0.4">
      <c r="A12" s="167" t="s">
        <v>96</v>
      </c>
      <c r="B12" s="171" t="s">
        <v>92</v>
      </c>
      <c r="C12" s="298" t="str">
        <f>IF(VLOOKUP(Metadata_Q1,Metadata_T1,5,FALSE)=0,"-",(VLOOKUP(Metadata_Q1,Metadata_T1,5,FALSE)))</f>
        <v xml:space="preserve">Indrek.Polding@tootukassa.ee
</v>
      </c>
      <c r="D12" s="299"/>
      <c r="E12" s="300"/>
      <c r="F12" s="285" t="s">
        <v>687</v>
      </c>
      <c r="G12" s="286"/>
      <c r="H12" s="287"/>
    </row>
    <row r="13" spans="1:8" ht="15" thickBot="1" x14ac:dyDescent="0.4"/>
    <row r="14" spans="1:8" ht="15" thickBot="1" x14ac:dyDescent="0.4">
      <c r="A14" s="169" t="s">
        <v>62</v>
      </c>
      <c r="B14" s="187" t="s">
        <v>174</v>
      </c>
      <c r="C14" s="301"/>
      <c r="D14" s="301"/>
      <c r="E14" s="301"/>
      <c r="F14" s="272"/>
      <c r="G14" s="272"/>
      <c r="H14" s="273"/>
    </row>
    <row r="15" spans="1:8" ht="29" x14ac:dyDescent="0.35">
      <c r="A15" s="166" t="s">
        <v>94</v>
      </c>
      <c r="B15" s="193" t="s">
        <v>93</v>
      </c>
      <c r="C15" s="302" t="str">
        <f>IF(VLOOKUP(Metadata_Q1,Metadata_T1,6,FALSE)=0,"-",(VLOOKUP(Metadata_Q1,Metadata_T1,6,FALSE)))</f>
        <v xml:space="preserve"> - Public Employment Service (PES) 
</v>
      </c>
      <c r="D15" s="303"/>
      <c r="E15" s="304"/>
      <c r="F15" s="274" t="s">
        <v>688</v>
      </c>
      <c r="G15" s="275"/>
      <c r="H15" s="276"/>
    </row>
    <row r="16" spans="1:8" ht="29.5" thickBot="1" x14ac:dyDescent="0.4">
      <c r="A16" s="167" t="s">
        <v>95</v>
      </c>
      <c r="B16" s="168" t="s">
        <v>250</v>
      </c>
      <c r="C16" s="288" t="str">
        <f>IF(VLOOKUP(Metadata_Q1,Metadata_T1,7,FALSE)=0,"-",(VLOOKUP(Metadata_Q1,Metadata_T1,7,FALSE)))</f>
        <v>PES: 
Young people aged 16-29 (not 15-29) registered with the PES as unemployed.
MER (up to 2021): 
The Youth Prop-Up Programme and the Hoog Sisse Programme: Young people between 15-26-years of age (there are some young people who are older than 26-years of age)</v>
      </c>
      <c r="D16" s="289"/>
      <c r="E16" s="290"/>
      <c r="F16" s="277" t="s">
        <v>689</v>
      </c>
      <c r="G16" s="278"/>
      <c r="H16" s="279"/>
    </row>
    <row r="17" spans="1:10" ht="15" thickBot="1" x14ac:dyDescent="0.4"/>
    <row r="18" spans="1:10" ht="15" thickBot="1" x14ac:dyDescent="0.4">
      <c r="A18" s="169" t="s">
        <v>173</v>
      </c>
      <c r="B18" s="187" t="s">
        <v>242</v>
      </c>
      <c r="C18" s="187"/>
      <c r="D18" s="188" t="s">
        <v>175</v>
      </c>
      <c r="E18" s="188" t="s">
        <v>176</v>
      </c>
      <c r="F18" s="172"/>
      <c r="G18" s="173" t="s">
        <v>175</v>
      </c>
      <c r="H18" s="174" t="s">
        <v>176</v>
      </c>
    </row>
    <row r="19" spans="1:10" ht="17.25" customHeight="1" x14ac:dyDescent="0.35">
      <c r="A19" s="166"/>
      <c r="B19" s="170" t="s">
        <v>439</v>
      </c>
      <c r="C19" s="189">
        <f>IF(VLOOKUP(Metadata_Q1,Metadata_T1,8,FALSE)=0,"-",(VLOOKUP(Metadata_Q1,Metadata_T1,8,FALSE)))</f>
        <v>2024</v>
      </c>
      <c r="D19" s="189" t="str">
        <f>IF(ISNUMBER(C19),"Jan", "[Not provided]")</f>
        <v>Jan</v>
      </c>
      <c r="E19" s="189" t="str">
        <f>IF(ISNUMBER(C19),"Dec", "[Not provided]")</f>
        <v>Dec</v>
      </c>
      <c r="F19" s="177">
        <v>2025</v>
      </c>
      <c r="G19" s="164" t="s">
        <v>36</v>
      </c>
      <c r="H19" s="165" t="s">
        <v>47</v>
      </c>
    </row>
    <row r="20" spans="1:10" x14ac:dyDescent="0.35">
      <c r="A20" s="166"/>
      <c r="B20" s="170" t="s">
        <v>237</v>
      </c>
      <c r="C20" s="190" t="str">
        <f>IF(VLOOKUP(Metadata_Q1,Metadata_T1,9,FALSE)=0,"-",(VLOOKUP(Metadata_Q1,Metadata_T1,9,FALSE)))</f>
        <v>[Not provided]</v>
      </c>
      <c r="D20" s="190" t="str">
        <f>IF(ISNUMBER(C20),"Jan", "[Not provided]")</f>
        <v>[Not provided]</v>
      </c>
      <c r="E20" s="190" t="str">
        <f t="shared" ref="E20:E22" si="0">IF(ISNUMBER(C20),"Dec", "[Not provided]")</f>
        <v>[Not provided]</v>
      </c>
      <c r="F20" s="178">
        <v>2024</v>
      </c>
      <c r="G20" s="160" t="s">
        <v>36</v>
      </c>
      <c r="H20" s="161" t="s">
        <v>47</v>
      </c>
      <c r="I20" s="196"/>
      <c r="J20" s="196"/>
    </row>
    <row r="21" spans="1:10" x14ac:dyDescent="0.35">
      <c r="A21" s="166"/>
      <c r="B21" s="170" t="s">
        <v>238</v>
      </c>
      <c r="C21" s="190" t="str">
        <f>IF(VLOOKUP(Metadata_Q1,Metadata_T1,10,FALSE)=0,"-",(VLOOKUP(Metadata_Q1,Metadata_T1,10,FALSE)))</f>
        <v>[Not provided]</v>
      </c>
      <c r="D21" s="190" t="str">
        <f t="shared" ref="D21:D22" si="1">IF(ISNUMBER(C21),"Jan", "[Not provided]")</f>
        <v>[Not provided]</v>
      </c>
      <c r="E21" s="190" t="str">
        <f t="shared" si="0"/>
        <v>[Not provided]</v>
      </c>
      <c r="F21" s="178">
        <v>2023</v>
      </c>
      <c r="G21" s="160" t="s">
        <v>36</v>
      </c>
      <c r="H21" s="161" t="s">
        <v>47</v>
      </c>
      <c r="I21" s="196"/>
      <c r="J21" s="196"/>
    </row>
    <row r="22" spans="1:10" ht="15" thickBot="1" x14ac:dyDescent="0.4">
      <c r="A22" s="167"/>
      <c r="B22" s="171" t="s">
        <v>255</v>
      </c>
      <c r="C22" s="191" t="str">
        <f>IF(VLOOKUP(Metadata_Q1,Metadata_T1,11,FALSE)=0,"-",(VLOOKUP(Metadata_Q1,Metadata_T1,11,FALSE)))</f>
        <v>[Not provided]</v>
      </c>
      <c r="D22" s="191" t="str">
        <f t="shared" si="1"/>
        <v>[Not provided]</v>
      </c>
      <c r="E22" s="191" t="str">
        <f t="shared" si="0"/>
        <v>[Not provided]</v>
      </c>
      <c r="F22" s="179">
        <v>2022</v>
      </c>
      <c r="G22" s="162" t="s">
        <v>36</v>
      </c>
      <c r="H22" s="163" t="s">
        <v>47</v>
      </c>
      <c r="I22" s="196"/>
      <c r="J22" s="196"/>
    </row>
    <row r="23" spans="1:10" ht="15" thickBot="1" x14ac:dyDescent="0.4"/>
    <row r="24" spans="1:10" ht="15" thickBot="1" x14ac:dyDescent="0.4">
      <c r="A24" s="169" t="s">
        <v>245</v>
      </c>
      <c r="B24" s="187"/>
      <c r="C24" s="301"/>
      <c r="D24" s="301"/>
      <c r="E24" s="301"/>
      <c r="F24" s="305"/>
      <c r="G24" s="305"/>
      <c r="H24" s="306"/>
    </row>
    <row r="25" spans="1:10" ht="293" customHeight="1" thickBot="1" x14ac:dyDescent="0.4">
      <c r="A25" s="167"/>
      <c r="B25" s="168" t="s">
        <v>260</v>
      </c>
      <c r="C25" s="308" t="str">
        <f>IF(VLOOKUP(Metadata_Q1,Metadata_T1,12,FALSE)=0,"-",(VLOOKUP(Metadata_Q1,Metadata_T1,12,FALSE)))</f>
        <v xml:space="preserve">
PES: 
1-day training and examination for certifications have been included as education offers and counted in the exits. Work practice, which typically lasts around 2 months but can be as short as three days, is reported as a traineeship offer.
MER (up to 2021):
MER YG programmes (i.e., the Youth Prop-Up Programme and the Hoog Sisse Programme) are targeted at young people between the ages of 15 to 26. The programme uses Logbook (i.e., an electronic monitoring system) to gather everyday statistics. The properties of the electronic monitoring system do not allow us to provide all the information according the criteria set out in the methodological manual. We will provide explanations on the metadata sheet as well as all the other relevant sheets. 
Overlaps between the two datasets are possible (i.e. participants may be double-counted). </v>
      </c>
      <c r="D25" s="309" t="str">
        <f>IF(VLOOKUP(Metadata_Q1,Metadata_T1,11,FALSE)=0,"-",(VLOOKUP(Metadata_Q1,Metadata_T1,11,FALSE)))</f>
        <v>[Not provided]</v>
      </c>
      <c r="E25" s="310" t="str">
        <f>IF(VLOOKUP(Metadata_Q1,Metadata_T1,11,FALSE)=0,"-",(VLOOKUP(Metadata_Q1,Metadata_T1,11,FALSE)))</f>
        <v>[Not provided]</v>
      </c>
      <c r="F25" s="291" t="s">
        <v>697</v>
      </c>
      <c r="G25" s="291"/>
      <c r="H25" s="291"/>
    </row>
    <row r="26" spans="1:10" ht="15" thickBot="1" x14ac:dyDescent="0.4"/>
    <row r="27" spans="1:10" x14ac:dyDescent="0.35">
      <c r="A27" s="169" t="s">
        <v>251</v>
      </c>
      <c r="B27" s="187" t="s">
        <v>223</v>
      </c>
      <c r="C27" s="175"/>
      <c r="D27" s="175"/>
      <c r="E27" s="175"/>
      <c r="F27" s="175"/>
      <c r="G27" s="175"/>
      <c r="H27" s="176"/>
    </row>
    <row r="28" spans="1:10" ht="15" thickBot="1" x14ac:dyDescent="0.4">
      <c r="A28" s="295" t="s">
        <v>228</v>
      </c>
      <c r="B28" s="296"/>
      <c r="C28" s="296"/>
      <c r="D28" s="296"/>
      <c r="E28" s="296"/>
      <c r="F28" s="296"/>
      <c r="G28" s="296"/>
      <c r="H28" s="297"/>
    </row>
    <row r="29" spans="1:10" ht="97" customHeight="1" x14ac:dyDescent="0.35">
      <c r="A29" s="192" t="s">
        <v>94</v>
      </c>
      <c r="B29" s="193" t="s">
        <v>51</v>
      </c>
      <c r="C29" s="307" t="str">
        <f>IF(VLOOKUP(Metadata_Q1,Metadata_T1,13,FALSE)=0,"-",(VLOOKUP(Metadata_Q1,Metadata_T1,13,FALSE)))</f>
        <v xml:space="preserve">PES: 
 - People exiting a measure that constitutes an offer (PES training or traineeships) are counted as re-entrants to the YG scheme, although participation in PES training and traineeships does not break up their unemployment spell.
 - Breakdown of entrants by previous YG experience is not available.
</v>
      </c>
      <c r="D29" s="307" t="str">
        <f t="shared" ref="D29:E40" si="2">IF(VLOOKUP(Metadata_Q1,Metadata_T1,11,FALSE)=0,"-",(VLOOKUP(Metadata_Q1,Metadata_T1,11,FALSE)))</f>
        <v>[Not provided]</v>
      </c>
      <c r="E29" s="307" t="str">
        <f t="shared" si="2"/>
        <v>[Not provided]</v>
      </c>
      <c r="F29" s="292" t="s">
        <v>699</v>
      </c>
      <c r="G29" s="293"/>
      <c r="H29" s="294"/>
    </row>
    <row r="30" spans="1:10" ht="62" customHeight="1" x14ac:dyDescent="0.35">
      <c r="A30" s="192" t="s">
        <v>95</v>
      </c>
      <c r="B30" s="193" t="s">
        <v>224</v>
      </c>
      <c r="C30" s="265" t="str">
        <f>IF(VLOOKUP(Metadata_Q1,Metadata_T1,14,FALSE)=0,"-",(VLOOKUP(Metadata_Q1,Metadata_T1,14,FALSE)))</f>
        <v xml:space="preserve">PES: 
Stock data are based on quarterly and not monthly averages and correctly exclude people participating in an ALMP (and counted as an offer) that does not break the unemployment spell.
</v>
      </c>
      <c r="D30" s="265" t="str">
        <f t="shared" si="2"/>
        <v>[Not provided]</v>
      </c>
      <c r="E30" s="265" t="str">
        <f t="shared" si="2"/>
        <v>[Not provided]</v>
      </c>
      <c r="F30" s="262" t="s">
        <v>690</v>
      </c>
      <c r="G30" s="263"/>
      <c r="H30" s="264"/>
    </row>
    <row r="31" spans="1:10" ht="57.5" customHeight="1" x14ac:dyDescent="0.35">
      <c r="A31" s="192" t="s">
        <v>96</v>
      </c>
      <c r="B31" s="193" t="s">
        <v>52</v>
      </c>
      <c r="C31" s="265" t="str">
        <f>IF(VLOOKUP(Metadata_Q1,Metadata_T1,15,FALSE)=0,"-",(VLOOKUP(Metadata_Q1,Metadata_T1,15,FALSE)))</f>
        <v xml:space="preserve">  PES: 
- Exit from the YG coincides with end of the spell as registered unemployed thus exits to unemployment are reported as zero.  
- Apprenticeships are part of the formal education system. Exits are thus recorded under education.
- Exits to inactivity are reported as unknown.
</v>
      </c>
      <c r="D31" s="265" t="str">
        <f t="shared" si="2"/>
        <v>[Not provided]</v>
      </c>
      <c r="E31" s="265" t="str">
        <f t="shared" si="2"/>
        <v>[Not provided]</v>
      </c>
      <c r="F31" s="262" t="s">
        <v>691</v>
      </c>
      <c r="G31" s="263"/>
      <c r="H31" s="264"/>
    </row>
    <row r="32" spans="1:10" ht="29" x14ac:dyDescent="0.35">
      <c r="A32" s="192"/>
      <c r="B32" s="193" t="s">
        <v>264</v>
      </c>
      <c r="C32" s="265" t="str">
        <f>IF(VLOOKUP(Metadata_Q1,Metadata_T1,16,FALSE)=0,"-",(VLOOKUP(Metadata_Q1,Metadata_T1,16,FALSE)))</f>
        <v>PES: 
Source: PES register
There are two methods to determine the destination of an exit:
1) Exit destination comes from the reason of ending the unemployment spell. The reasons may include: employment, full-time education, death, retirement, military service, voluntary exit, sanctions for not fulfilling the requirements of being registered unemployed and others. The reasons may be verified (based on registry data) or unverified (people's own sayings)
2) Exit destination is determined on the type of LMP that a young person starts:
-Subsidised employment: wage subsidy; business start-up subsidy; my first job; working with a support person
-Subsidised education: labour market training; a degree study allowance
-Subsidised traineeship: work practice</v>
      </c>
      <c r="D32" s="265" t="str">
        <f t="shared" si="2"/>
        <v>[Not provided]</v>
      </c>
      <c r="E32" s="265" t="str">
        <f t="shared" si="2"/>
        <v>[Not provided]</v>
      </c>
      <c r="F32" s="262" t="s">
        <v>692</v>
      </c>
      <c r="G32" s="263"/>
      <c r="H32" s="264"/>
    </row>
    <row r="33" spans="1:8" ht="58" x14ac:dyDescent="0.35">
      <c r="A33" s="192"/>
      <c r="B33" s="193" t="s">
        <v>265</v>
      </c>
      <c r="C33" s="265" t="str">
        <f>IF(VLOOKUP(Metadata_Q1,Metadata_T1,17,FALSE)=0,"-",(VLOOKUP(Metadata_Q1,Metadata_T1,17,FALSE)))</f>
        <v xml:space="preserve">PES: 
The risk of missing positive outcomes comes only from the first method (reason of ending the uneployment spell). Only one reason for exit is stated, that means that for example if a person chooses to exit voluntarily then PES won’t know what the actual destination of this exit was.
</v>
      </c>
      <c r="D33" s="265" t="str">
        <f t="shared" si="2"/>
        <v>[Not provided]</v>
      </c>
      <c r="E33" s="265" t="str">
        <f t="shared" si="2"/>
        <v>[Not provided]</v>
      </c>
      <c r="F33" s="262"/>
      <c r="G33" s="263"/>
      <c r="H33" s="264"/>
    </row>
    <row r="34" spans="1:8" ht="49.5" customHeight="1" x14ac:dyDescent="0.35">
      <c r="A34" s="192"/>
      <c r="B34" s="193" t="s">
        <v>270</v>
      </c>
      <c r="C34" s="265" t="str">
        <f>IF(VLOOKUP(Metadata_Q1,Metadata_T1,18,FALSE)=0,"-",(VLOOKUP(Metadata_Q1,Metadata_T1,18,FALSE)))</f>
        <v>None</v>
      </c>
      <c r="D34" s="265" t="str">
        <f t="shared" si="2"/>
        <v>[Not provided]</v>
      </c>
      <c r="E34" s="265" t="str">
        <f t="shared" si="2"/>
        <v>[Not provided]</v>
      </c>
      <c r="F34" s="382" t="s">
        <v>693</v>
      </c>
      <c r="G34" s="383"/>
      <c r="H34" s="384"/>
    </row>
    <row r="35" spans="1:8" x14ac:dyDescent="0.35">
      <c r="A35" s="192" t="s">
        <v>246</v>
      </c>
      <c r="B35" s="193" t="s">
        <v>243</v>
      </c>
      <c r="C35" s="265" t="str">
        <f>IF(VLOOKUP(Metadata_Q1,Metadata_T1,19,FALSE)=0,"-",(VLOOKUP(Metadata_Q1,Metadata_T1,19,FALSE)))</f>
        <v xml:space="preserve">PES: Not available
MER: 
- Data cover only the situation of young people 6 months after exiting. The situation of young people 12 and 18 months after exiting is not monitored. 
- As all exits are recorded as exits to unknown destinations, follow-up data are not broken down by type of exit. 
- Young people who 6 months after the exit both worked and studied - they are currently included under situation education.
- Situation inactivity refers to people on maternity/paternity leave and on military service.
</v>
      </c>
      <c r="D35" s="265" t="str">
        <f t="shared" si="2"/>
        <v>[Not provided]</v>
      </c>
      <c r="E35" s="265" t="str">
        <f t="shared" si="2"/>
        <v>[Not provided]</v>
      </c>
      <c r="F35" s="382" t="s">
        <v>361</v>
      </c>
      <c r="G35" s="383"/>
      <c r="H35" s="384"/>
    </row>
    <row r="36" spans="1:8" x14ac:dyDescent="0.35">
      <c r="A36" s="192" t="s">
        <v>247</v>
      </c>
      <c r="B36" s="193" t="s">
        <v>244</v>
      </c>
      <c r="C36" s="265" t="str">
        <f>IF(VLOOKUP(Metadata_Q1,Metadata_T1,20,FALSE)=0,"-",(VLOOKUP(Metadata_Q1,Metadata_T1,20,FALSE)))</f>
        <v>-</v>
      </c>
      <c r="D36" s="265" t="str">
        <f t="shared" si="2"/>
        <v>[Not provided]</v>
      </c>
      <c r="E36" s="265" t="str">
        <f t="shared" si="2"/>
        <v>[Not provided]</v>
      </c>
      <c r="F36" s="382" t="s">
        <v>361</v>
      </c>
      <c r="G36" s="383"/>
      <c r="H36" s="384"/>
    </row>
    <row r="37" spans="1:8" x14ac:dyDescent="0.35">
      <c r="A37" s="192" t="s">
        <v>248</v>
      </c>
      <c r="B37" s="193" t="s">
        <v>261</v>
      </c>
      <c r="C37" s="265" t="str">
        <f>IF(VLOOKUP(Metadata_Q1,Metadata_T1,21,FALSE)=0,"-",(VLOOKUP(Metadata_Q1,Metadata_T1,21,FALSE)))</f>
        <v>-</v>
      </c>
      <c r="D37" s="265" t="str">
        <f t="shared" si="2"/>
        <v>[Not provided]</v>
      </c>
      <c r="E37" s="265" t="str">
        <f t="shared" si="2"/>
        <v>[Not provided]</v>
      </c>
      <c r="F37" s="382" t="s">
        <v>361</v>
      </c>
      <c r="G37" s="383"/>
      <c r="H37" s="384"/>
    </row>
    <row r="38" spans="1:8" ht="43.5" x14ac:dyDescent="0.35">
      <c r="A38" s="192"/>
      <c r="B38" s="193" t="s">
        <v>266</v>
      </c>
      <c r="C38" s="265" t="str">
        <f>IF(VLOOKUP(Metadata_Q1,Metadata_T1,22,FALSE)=0,"-",(VLOOKUP(Metadata_Q1,Metadata_T1,22,FALSE)))</f>
        <v xml:space="preserve">PES: Not applicable
</v>
      </c>
      <c r="D38" s="265" t="str">
        <f t="shared" si="2"/>
        <v>[Not provided]</v>
      </c>
      <c r="E38" s="265" t="str">
        <f t="shared" si="2"/>
        <v>[Not provided]</v>
      </c>
      <c r="F38" s="262" t="s">
        <v>694</v>
      </c>
      <c r="G38" s="263"/>
      <c r="H38" s="264"/>
    </row>
    <row r="39" spans="1:8" ht="58" x14ac:dyDescent="0.35">
      <c r="A39" s="192"/>
      <c r="B39" s="193" t="s">
        <v>267</v>
      </c>
      <c r="C39" s="265" t="str">
        <f>IF(VLOOKUP(Metadata_Q1,Metadata_T1,23,FALSE)=0,"-",(VLOOKUP(Metadata_Q1,Metadata_T1,23,FALSE)))</f>
        <v xml:space="preserve">PES: Not applicable
</v>
      </c>
      <c r="D39" s="265" t="str">
        <f t="shared" si="2"/>
        <v>[Not provided]</v>
      </c>
      <c r="E39" s="265" t="str">
        <f t="shared" si="2"/>
        <v>[Not provided]</v>
      </c>
      <c r="F39" s="262" t="s">
        <v>694</v>
      </c>
      <c r="G39" s="263"/>
      <c r="H39" s="264"/>
    </row>
    <row r="40" spans="1:8" ht="15" thickBot="1" x14ac:dyDescent="0.4">
      <c r="A40" s="167" t="s">
        <v>262</v>
      </c>
      <c r="B40" s="168" t="s">
        <v>227</v>
      </c>
      <c r="C40" s="266" t="str">
        <f>IF(VLOOKUP(Metadata_Q1,Metadata_T1,24,FALSE)=0,"-",(VLOOKUP(Metadata_Q1,Metadata_T1,24,FALSE)))</f>
        <v>-</v>
      </c>
      <c r="D40" s="266" t="str">
        <f t="shared" si="2"/>
        <v>[Not provided]</v>
      </c>
      <c r="E40" s="266" t="str">
        <f t="shared" si="2"/>
        <v>[Not provided]</v>
      </c>
      <c r="F40" s="267"/>
      <c r="G40" s="268"/>
      <c r="H40" s="269"/>
    </row>
    <row r="41" spans="1:8" ht="15" thickBot="1" x14ac:dyDescent="0.4"/>
    <row r="42" spans="1:8" ht="15" thickBot="1" x14ac:dyDescent="0.4">
      <c r="A42" s="169" t="s">
        <v>252</v>
      </c>
      <c r="B42" s="187" t="s">
        <v>253</v>
      </c>
      <c r="C42" s="260"/>
      <c r="D42" s="260"/>
      <c r="E42" s="260"/>
      <c r="F42" s="260"/>
      <c r="G42" s="260"/>
      <c r="H42" s="261"/>
    </row>
    <row r="43" spans="1:8" ht="73" thickBot="1" x14ac:dyDescent="0.4">
      <c r="A43" s="167"/>
      <c r="B43" s="168" t="s">
        <v>249</v>
      </c>
      <c r="C43" s="257" t="s">
        <v>700</v>
      </c>
      <c r="D43" s="258"/>
      <c r="E43" s="258"/>
      <c r="F43" s="258"/>
      <c r="G43" s="258"/>
      <c r="H43" s="259"/>
    </row>
  </sheetData>
  <sheetProtection algorithmName="SHA-512" hashValue="F0QKs55e2zVKQHFfG7uiH1pf4+7EPQULop2R5MgdtqWrgNeQ+TzYhDfuoYeP9dno2A9YwFCa3cA2toWrhPC/iA==" saltValue="Sev7w5e4IlP2Feoq0W8gQA==" spinCount="100000" sheet="1" formatCells="0" formatColumns="0" formatRows="0" insertHyperlinks="0"/>
  <dataConsolidate/>
  <mergeCells count="46">
    <mergeCell ref="F25:H25"/>
    <mergeCell ref="F29:H29"/>
    <mergeCell ref="F30:H30"/>
    <mergeCell ref="A28:H28"/>
    <mergeCell ref="C10:E10"/>
    <mergeCell ref="C11:E11"/>
    <mergeCell ref="C12:E12"/>
    <mergeCell ref="C14:E14"/>
    <mergeCell ref="C15:E15"/>
    <mergeCell ref="F24:H24"/>
    <mergeCell ref="C29:E29"/>
    <mergeCell ref="C30:E30"/>
    <mergeCell ref="C24:E24"/>
    <mergeCell ref="C25:E25"/>
    <mergeCell ref="F39:H39"/>
    <mergeCell ref="C34:E34"/>
    <mergeCell ref="F34:H34"/>
    <mergeCell ref="F36:H36"/>
    <mergeCell ref="C37:E37"/>
    <mergeCell ref="F37:H37"/>
    <mergeCell ref="C7:E7"/>
    <mergeCell ref="F7:H7"/>
    <mergeCell ref="F14:H14"/>
    <mergeCell ref="F15:H15"/>
    <mergeCell ref="F16:H16"/>
    <mergeCell ref="F9:H9"/>
    <mergeCell ref="F10:H10"/>
    <mergeCell ref="F11:H11"/>
    <mergeCell ref="F12:H12"/>
    <mergeCell ref="C16:E16"/>
    <mergeCell ref="C43:H43"/>
    <mergeCell ref="C42:H42"/>
    <mergeCell ref="F31:H31"/>
    <mergeCell ref="C31:E31"/>
    <mergeCell ref="C35:E35"/>
    <mergeCell ref="C40:E40"/>
    <mergeCell ref="C36:E36"/>
    <mergeCell ref="F40:H40"/>
    <mergeCell ref="F35:H35"/>
    <mergeCell ref="C32:E32"/>
    <mergeCell ref="C33:E33"/>
    <mergeCell ref="C38:E38"/>
    <mergeCell ref="C39:E39"/>
    <mergeCell ref="F32:H32"/>
    <mergeCell ref="F33:H33"/>
    <mergeCell ref="F38:H38"/>
  </mergeCells>
  <dataValidations count="3">
    <dataValidation type="list" allowBlank="1" showInputMessage="1" showErrorMessage="1" sqref="C5" xr:uid="{00000000-0002-0000-0200-000000000000}">
      <formula1>Countries</formula1>
    </dataValidation>
    <dataValidation type="list" allowBlank="1" showInputMessage="1" showErrorMessage="1" sqref="F19:F22" xr:uid="{00000000-0002-0000-0200-000001000000}">
      <formula1>Years</formula1>
    </dataValidation>
    <dataValidation type="list" allowBlank="1" showInputMessage="1" showErrorMessage="1" sqref="G19:H22" xr:uid="{00000000-0002-0000-0200-000002000000}">
      <formula1>Months</formula1>
    </dataValidation>
  </dataValidations>
  <hyperlinks>
    <hyperlink ref="F12" r:id="rId1" xr:uid="{A9A70337-B4B9-457F-A5AA-27ABCB0DA3A9}"/>
  </hyperlinks>
  <pageMargins left="0.23622047244094491" right="0.23622047244094491" top="0.74803149606299213" bottom="0.74803149606299213" header="0.31496062992125984" footer="0.31496062992125984"/>
  <pageSetup paperSize="9" orientation="landscape" r:id="rId2"/>
  <headerFooter>
    <oddFooter>&amp;LYG monitoring (pilot)&amp;R&amp;A\&amp;P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AB252-E4C5-457F-813B-1CE5FA05B040}">
  <dimension ref="A1:M26"/>
  <sheetViews>
    <sheetView topLeftCell="A13" zoomScaleNormal="100" workbookViewId="0">
      <selection activeCell="E13" sqref="E13"/>
    </sheetView>
  </sheetViews>
  <sheetFormatPr defaultColWidth="9.1796875" defaultRowHeight="14.5" x14ac:dyDescent="0.35"/>
  <cols>
    <col min="1" max="1" width="3.1796875" customWidth="1"/>
    <col min="2" max="2" width="19.453125" customWidth="1"/>
    <col min="3" max="4" width="16.7265625" customWidth="1"/>
    <col min="5" max="5" width="13.7265625" customWidth="1"/>
    <col min="6" max="6" width="13" customWidth="1"/>
    <col min="7" max="7" width="12.26953125" customWidth="1"/>
    <col min="8" max="9" width="13.7265625" customWidth="1"/>
    <col min="10" max="10" width="6.26953125" customWidth="1"/>
    <col min="11" max="11" width="49.26953125" style="67" customWidth="1"/>
    <col min="12" max="12" width="3" customWidth="1"/>
    <col min="13" max="13" width="36.54296875" customWidth="1"/>
  </cols>
  <sheetData>
    <row r="1" spans="1:13" s="11" customFormat="1" ht="18.5" x14ac:dyDescent="0.45">
      <c r="A1" s="12" t="s">
        <v>125</v>
      </c>
      <c r="K1" s="66"/>
    </row>
    <row r="2" spans="1:13" ht="15" thickBot="1" x14ac:dyDescent="0.4">
      <c r="A2" s="1"/>
    </row>
    <row r="3" spans="1:13" s="90" customFormat="1" ht="19" thickBot="1" x14ac:dyDescent="0.5">
      <c r="A3" s="83" t="s">
        <v>181</v>
      </c>
      <c r="B3" s="84"/>
      <c r="C3" s="84"/>
      <c r="D3" s="85">
        <f>RefYear_Main</f>
        <v>2025</v>
      </c>
      <c r="E3" s="82"/>
      <c r="F3" s="82"/>
      <c r="G3" s="82"/>
      <c r="H3" s="91"/>
      <c r="I3" s="87"/>
      <c r="J3" s="88"/>
      <c r="K3" s="89"/>
    </row>
    <row r="4" spans="1:13" s="90" customFormat="1" ht="11.25" customHeight="1" thickBot="1" x14ac:dyDescent="0.5">
      <c r="A4" s="136"/>
      <c r="B4" s="136"/>
      <c r="C4" s="136"/>
      <c r="D4" s="137"/>
      <c r="E4" s="138"/>
      <c r="F4" s="138"/>
      <c r="G4" s="138"/>
      <c r="H4" s="88"/>
      <c r="I4" s="88"/>
      <c r="J4" s="88"/>
      <c r="K4" s="89"/>
    </row>
    <row r="5" spans="1:13" s="90" customFormat="1" ht="19" thickBot="1" x14ac:dyDescent="0.5">
      <c r="A5" s="139" t="s">
        <v>225</v>
      </c>
      <c r="B5" s="140"/>
      <c r="C5" s="140"/>
      <c r="D5" s="141"/>
      <c r="E5" s="140"/>
      <c r="F5" s="140"/>
      <c r="G5" s="140"/>
      <c r="H5" s="140"/>
      <c r="I5" s="142"/>
      <c r="J5" s="88"/>
      <c r="K5" s="89"/>
    </row>
    <row r="6" spans="1:13" ht="9" customHeight="1" thickBot="1" x14ac:dyDescent="0.4">
      <c r="A6" s="1"/>
    </row>
    <row r="7" spans="1:13" s="18" customFormat="1" ht="15.75" customHeight="1" thickTop="1" x14ac:dyDescent="0.35">
      <c r="A7" s="311" t="s">
        <v>259</v>
      </c>
      <c r="B7" s="312"/>
      <c r="C7" s="319" t="s">
        <v>118</v>
      </c>
      <c r="D7" s="326" t="s">
        <v>119</v>
      </c>
      <c r="E7" s="322" t="s">
        <v>601</v>
      </c>
      <c r="F7" s="323"/>
      <c r="G7" s="323"/>
      <c r="H7" s="323"/>
      <c r="I7" s="324"/>
      <c r="K7" s="65" t="s">
        <v>121</v>
      </c>
      <c r="M7" s="72" t="s">
        <v>122</v>
      </c>
    </row>
    <row r="8" spans="1:13" s="18" customFormat="1" ht="15" customHeight="1" x14ac:dyDescent="0.35">
      <c r="A8" s="313"/>
      <c r="B8" s="314"/>
      <c r="C8" s="320"/>
      <c r="D8" s="327"/>
      <c r="E8" s="317" t="s">
        <v>117</v>
      </c>
      <c r="F8" s="328" t="s">
        <v>226</v>
      </c>
      <c r="G8" s="329"/>
      <c r="H8" s="330"/>
      <c r="I8" s="315" t="s">
        <v>21</v>
      </c>
      <c r="K8" s="325" t="s">
        <v>124</v>
      </c>
      <c r="M8" s="235" t="s">
        <v>123</v>
      </c>
    </row>
    <row r="9" spans="1:13" s="20" customFormat="1" ht="33" customHeight="1" x14ac:dyDescent="0.35">
      <c r="A9" s="313"/>
      <c r="B9" s="314"/>
      <c r="C9" s="321"/>
      <c r="D9" s="64" t="s">
        <v>120</v>
      </c>
      <c r="E9" s="318"/>
      <c r="F9" s="147" t="s">
        <v>3</v>
      </c>
      <c r="G9" s="147" t="s">
        <v>115</v>
      </c>
      <c r="H9" s="147" t="s">
        <v>116</v>
      </c>
      <c r="I9" s="316"/>
      <c r="K9" s="325"/>
      <c r="M9" s="235"/>
    </row>
    <row r="10" spans="1:13" ht="15" hidden="1" customHeight="1" x14ac:dyDescent="0.35">
      <c r="A10" s="14"/>
      <c r="B10" s="15"/>
      <c r="C10" s="16" t="str">
        <f>C7</f>
        <v>Total entrants (§57)</v>
      </c>
      <c r="D10" s="17">
        <f>D8</f>
        <v>0</v>
      </c>
      <c r="E10" s="17" t="str">
        <f>E8</f>
        <v>None</v>
      </c>
      <c r="F10" s="17"/>
      <c r="G10" s="17">
        <f>G8</f>
        <v>0</v>
      </c>
      <c r="H10" s="17">
        <f>H8</f>
        <v>0</v>
      </c>
      <c r="I10" s="62" t="s">
        <v>99</v>
      </c>
      <c r="K10" s="68"/>
      <c r="M10" s="71"/>
    </row>
    <row r="11" spans="1:13" x14ac:dyDescent="0.35">
      <c r="A11" s="4" t="s">
        <v>2</v>
      </c>
      <c r="B11" s="5"/>
      <c r="C11" s="8"/>
      <c r="D11" s="13"/>
      <c r="E11" s="13"/>
      <c r="F11" s="13"/>
      <c r="G11" s="13"/>
      <c r="H11" s="13"/>
      <c r="I11" s="10"/>
      <c r="K11" s="69" t="str" cm="1">
        <f t="array" ref="K11">IF(SUM(IF(C12:I15&lt;(C17:I20+C22:I25),1,0)),"!! Check sum by sex for one or more columns/rows","")</f>
        <v/>
      </c>
      <c r="M11" s="246"/>
    </row>
    <row r="12" spans="1:13" x14ac:dyDescent="0.35">
      <c r="A12" s="2"/>
      <c r="B12" s="6" t="s">
        <v>441</v>
      </c>
      <c r="C12" s="120">
        <f>SUM(C17+C22)</f>
        <v>1396</v>
      </c>
      <c r="D12" s="121"/>
      <c r="E12" s="121"/>
      <c r="F12" s="121"/>
      <c r="G12" s="121"/>
      <c r="H12" s="121"/>
      <c r="I12" s="127">
        <f>C12-SUM(E12:F12)</f>
        <v>1396</v>
      </c>
      <c r="K12" s="69" t="str">
        <f>IF(D12&gt;C12,"!! Registered unemployed must be &lt;= total entrants",IF(I12&lt;0,"!! Sum by previous YG experience must be &lt;= total entrants",IF(F12&lt;(G12+H12),"!! Check breakdown with previous experience","")))</f>
        <v/>
      </c>
      <c r="M12" s="246"/>
    </row>
    <row r="13" spans="1:13" x14ac:dyDescent="0.35">
      <c r="A13" s="2"/>
      <c r="B13" s="6" t="s">
        <v>6</v>
      </c>
      <c r="C13" s="120">
        <f>SUM(C18+C23)</f>
        <v>723</v>
      </c>
      <c r="D13" s="121"/>
      <c r="E13" s="121"/>
      <c r="F13" s="121"/>
      <c r="G13" s="121"/>
      <c r="H13" s="121"/>
      <c r="I13" s="127">
        <f t="shared" ref="I13:I14" si="0">C13-SUM(E13:F13)</f>
        <v>723</v>
      </c>
      <c r="K13" s="69" t="str">
        <f>IF(D13&gt;C13,"!! Registered unemployed must be &lt;= total entrants",IF(I13&lt;0,"!! Sum by previous YG experience must be &lt;= total entrants",IF(F13&lt;(G13+H13),"!! Check breakdown with previous experience","")))</f>
        <v/>
      </c>
      <c r="M13" s="246"/>
    </row>
    <row r="14" spans="1:13" x14ac:dyDescent="0.35">
      <c r="A14" s="2"/>
      <c r="B14" s="6" t="s">
        <v>7</v>
      </c>
      <c r="C14" s="120">
        <f>SUM(C19+C24)</f>
        <v>471</v>
      </c>
      <c r="D14" s="121"/>
      <c r="E14" s="121"/>
      <c r="F14" s="121"/>
      <c r="G14" s="121"/>
      <c r="H14" s="121"/>
      <c r="I14" s="127">
        <f t="shared" si="0"/>
        <v>471</v>
      </c>
      <c r="K14" s="69" t="str">
        <f>IF(D14&gt;C14,"!! Registered unemployed must be &lt;= total entrants",IF(I14&lt;0,"!! Sum by previous YG experience must be &lt;= total entrants",IF(F14&lt;(G14+H14),"!! Check breakdown with previous experience","")))</f>
        <v/>
      </c>
      <c r="M14" s="246"/>
    </row>
    <row r="15" spans="1:13" x14ac:dyDescent="0.35">
      <c r="A15" s="2"/>
      <c r="B15" s="6" t="s">
        <v>440</v>
      </c>
      <c r="C15" s="120">
        <f>SUM(C20+C25)</f>
        <v>160</v>
      </c>
      <c r="D15" s="121"/>
      <c r="E15" s="121"/>
      <c r="F15" s="121"/>
      <c r="G15" s="121"/>
      <c r="H15" s="121"/>
      <c r="I15" s="127">
        <f>C15-SUM(E15:F15)</f>
        <v>160</v>
      </c>
      <c r="K15" s="69" t="str">
        <f>IF(D15&gt;C15,"!! Registered unemployed must be &lt;= total entrants",IF(I15&lt;0,"!! Sum by previous YG experience must be &lt;= total entrants",IF(F15&lt;(G15+H15),"!! Check breakdown with previous experience","")))</f>
        <v/>
      </c>
      <c r="M15" s="246"/>
    </row>
    <row r="16" spans="1:13" x14ac:dyDescent="0.35">
      <c r="A16" s="4" t="s">
        <v>4</v>
      </c>
      <c r="B16" s="5"/>
      <c r="C16" s="8"/>
      <c r="D16" s="13"/>
      <c r="E16" s="13"/>
      <c r="F16" s="13"/>
      <c r="G16" s="13"/>
      <c r="H16" s="13"/>
      <c r="I16" s="10"/>
      <c r="K16" s="69" t="str" cm="1">
        <f t="array" ref="K16">IF(SUM(IF(C17:I17&lt;(C18:I18+C19:I19+C20:I20),1,0)),"!! Check sum by age for one or more columns","")</f>
        <v/>
      </c>
      <c r="M16" s="246"/>
    </row>
    <row r="17" spans="1:13" x14ac:dyDescent="0.35">
      <c r="A17" s="2"/>
      <c r="B17" s="6" t="s">
        <v>441</v>
      </c>
      <c r="C17" s="120">
        <f>GETPIVOTDATA("Number of enrolled youth",'[1]2024'!$G$3,"Gender","male")</f>
        <v>768</v>
      </c>
      <c r="D17" s="121"/>
      <c r="E17" s="121"/>
      <c r="F17" s="121"/>
      <c r="G17" s="121"/>
      <c r="H17" s="121"/>
      <c r="I17" s="127">
        <f t="shared" ref="I17:I20" si="1">C17-SUM(E17:F17)</f>
        <v>768</v>
      </c>
      <c r="K17" s="69" t="str">
        <f>IF(D17&gt;C17,"!! Registered unemployed must be &lt;= total entrants",IF(I17&lt;0,"!! Sum by previous YG experience must be &lt;= total entrants",IF(F17&lt;(G17+H17),"!! Check breakdown with previous experience","")))</f>
        <v/>
      </c>
      <c r="M17" s="246"/>
    </row>
    <row r="18" spans="1:13" x14ac:dyDescent="0.35">
      <c r="A18" s="2"/>
      <c r="B18" s="6" t="s">
        <v>6</v>
      </c>
      <c r="C18" s="120">
        <f>GETPIVOTDATA("Number of enrolled youth",'[1]2024'!$G$3,"Gender","male","Age Group","15-19")</f>
        <v>398</v>
      </c>
      <c r="D18" s="121"/>
      <c r="E18" s="121"/>
      <c r="F18" s="121"/>
      <c r="G18" s="121"/>
      <c r="H18" s="121"/>
      <c r="I18" s="127">
        <f t="shared" si="1"/>
        <v>398</v>
      </c>
      <c r="K18" s="69" t="str">
        <f>IF(D18&gt;C18,"!! Registered unemployed must be &lt;= total entrants",IF(I18&lt;0,"!! Sum by previous YG experience must be &lt;= total entrants",IF(F18&lt;(G18+H18),"!! Check breakdown with previous experience","")))</f>
        <v/>
      </c>
      <c r="M18" s="246"/>
    </row>
    <row r="19" spans="1:13" x14ac:dyDescent="0.35">
      <c r="A19" s="2"/>
      <c r="B19" s="6" t="s">
        <v>7</v>
      </c>
      <c r="C19" s="120">
        <f>GETPIVOTDATA("Number of enrolled youth",'[1]2024'!$G$3,"Gender","male","Age Group","20-24")</f>
        <v>274</v>
      </c>
      <c r="D19" s="121"/>
      <c r="E19" s="121"/>
      <c r="F19" s="121"/>
      <c r="G19" s="121"/>
      <c r="H19" s="121"/>
      <c r="I19" s="127">
        <f t="shared" si="1"/>
        <v>274</v>
      </c>
      <c r="K19" s="69" t="str">
        <f>IF(D19&gt;C19,"!! Registered unemployed must be &lt;= total entrants",IF(I19&lt;0,"!! Sum by previous YG experience must be &lt;= total entrants",IF(F19&lt;(G19+H19),"!! Check breakdown with previous experience","")))</f>
        <v/>
      </c>
      <c r="M19" s="246"/>
    </row>
    <row r="20" spans="1:13" x14ac:dyDescent="0.35">
      <c r="A20" s="2"/>
      <c r="B20" s="6" t="s">
        <v>440</v>
      </c>
      <c r="C20" s="120">
        <f>GETPIVOTDATA("Number of enrolled youth",'[1]2024'!$G$3,"Gender","male","Age Group","25-29")</f>
        <v>80</v>
      </c>
      <c r="D20" s="121"/>
      <c r="E20" s="121"/>
      <c r="F20" s="121"/>
      <c r="G20" s="121"/>
      <c r="H20" s="121"/>
      <c r="I20" s="127">
        <f t="shared" si="1"/>
        <v>80</v>
      </c>
      <c r="K20" s="69" t="str">
        <f>IF(D20&gt;C20,"!! Registered unemployed must be &lt;= total entrants",IF(I20&lt;0,"!! Sum by previous YG experience must be &lt;= total entrants",IF(F20&lt;(G20+H20),"!! Check breakdown with previous experience","")))</f>
        <v/>
      </c>
      <c r="M20" s="246"/>
    </row>
    <row r="21" spans="1:13" x14ac:dyDescent="0.35">
      <c r="A21" s="4" t="s">
        <v>5</v>
      </c>
      <c r="B21" s="5"/>
      <c r="C21" s="8"/>
      <c r="D21" s="13"/>
      <c r="E21" s="13"/>
      <c r="F21" s="13"/>
      <c r="G21" s="13"/>
      <c r="H21" s="13"/>
      <c r="I21" s="10"/>
      <c r="K21" s="69" t="str" cm="1">
        <f t="array" ref="K21">IF(SUM(IF(C22:I22&lt;(C23:I23+C24:I24+C25:I25),1,0)),"!! Check sum by age for one or more columns","")</f>
        <v/>
      </c>
      <c r="M21" s="246"/>
    </row>
    <row r="22" spans="1:13" x14ac:dyDescent="0.35">
      <c r="A22" s="2"/>
      <c r="B22" s="6" t="s">
        <v>441</v>
      </c>
      <c r="C22" s="120">
        <f>GETPIVOTDATA("Number of enrolled youth",'[1]2024'!$G$3,"Gender","female")</f>
        <v>628</v>
      </c>
      <c r="D22" s="121"/>
      <c r="E22" s="121"/>
      <c r="F22" s="121"/>
      <c r="G22" s="121"/>
      <c r="H22" s="121"/>
      <c r="I22" s="127">
        <f t="shared" ref="I22:I25" si="2">C22-SUM(E22:F22)</f>
        <v>628</v>
      </c>
      <c r="K22" s="69" t="str">
        <f>IF(D22&gt;C22,"!! Registered unemployed must be &lt;= total entrants",IF(I22&lt;0,"!! Sum by previous YG experience must be &lt;= total entrants",IF(F22&lt;(G22+H22),"!! Check breakdown with previous experience","")))</f>
        <v/>
      </c>
      <c r="M22" s="246"/>
    </row>
    <row r="23" spans="1:13" x14ac:dyDescent="0.35">
      <c r="A23" s="2"/>
      <c r="B23" s="6" t="s">
        <v>6</v>
      </c>
      <c r="C23" s="120">
        <f>GETPIVOTDATA("Number of enrolled youth",'[1]2024'!$G$3,"Gender","female","Age Group","15-19")</f>
        <v>325</v>
      </c>
      <c r="D23" s="121"/>
      <c r="E23" s="121"/>
      <c r="F23" s="121"/>
      <c r="G23" s="121"/>
      <c r="H23" s="121"/>
      <c r="I23" s="127">
        <f t="shared" si="2"/>
        <v>325</v>
      </c>
      <c r="K23" s="69" t="str">
        <f>IF(D23&gt;C23,"!! Registered unemployed must be &lt;= total entrants",IF(I23&lt;0,"!! Sum by previous YG experience must be &lt;= total entrants",IF(F23&lt;(G23+H23),"!! Check breakdown with previous experience","")))</f>
        <v/>
      </c>
      <c r="M23" s="246"/>
    </row>
    <row r="24" spans="1:13" x14ac:dyDescent="0.35">
      <c r="A24" s="2"/>
      <c r="B24" s="6" t="s">
        <v>7</v>
      </c>
      <c r="C24" s="120">
        <f>GETPIVOTDATA("Number of enrolled youth",'[1]2024'!$G$3,"Gender","female","Age Group","20-24")</f>
        <v>197</v>
      </c>
      <c r="D24" s="121"/>
      <c r="E24" s="121"/>
      <c r="F24" s="121"/>
      <c r="G24" s="121"/>
      <c r="H24" s="121"/>
      <c r="I24" s="127">
        <f t="shared" si="2"/>
        <v>197</v>
      </c>
      <c r="K24" s="69" t="str">
        <f>IF(D24&gt;C24,"!! Registered unemployed must be &lt;= total entrants",IF(I24&lt;0,"!! Sum by previous YG experience must be &lt;= total entrants",IF(F24&lt;(G24+H24),"!! Check breakdown with previous experience","")))</f>
        <v/>
      </c>
      <c r="M24" s="246"/>
    </row>
    <row r="25" spans="1:13" ht="15" thickBot="1" x14ac:dyDescent="0.4">
      <c r="A25" s="3"/>
      <c r="B25" s="7" t="s">
        <v>440</v>
      </c>
      <c r="C25" s="122">
        <f>GETPIVOTDATA("Number of enrolled youth",'[1]2024'!$G$3,"Gender","female","Age Group","25-29")</f>
        <v>80</v>
      </c>
      <c r="D25" s="123"/>
      <c r="E25" s="123"/>
      <c r="F25" s="123"/>
      <c r="G25" s="123"/>
      <c r="H25" s="123"/>
      <c r="I25" s="128">
        <f t="shared" si="2"/>
        <v>80</v>
      </c>
      <c r="K25" s="70" t="str">
        <f>IF(D25&gt;C25,"!! Registered unemployed must be &lt;= total entrants",IF(I25&lt;0,"!! Sum by previous YG experience must be &lt;= total entrants",IF(F25&lt;(G25+H25),"!! Check breakdown with previous experience","")))</f>
        <v/>
      </c>
      <c r="M25" s="247"/>
    </row>
    <row r="26" spans="1:13" ht="15" thickTop="1" x14ac:dyDescent="0.35"/>
  </sheetData>
  <sheetProtection algorithmName="SHA-512" hashValue="+6aKUtjqx34Qpt2ASILV3zNGtaU9/nHw2IzjI7qhpjOnLwb/nahSC8pdSQ/qXVgd2JkIchxzXvF+7vbcECojwA==" saltValue="/DyUo3Z6gRnSpJqrfZLSoA==" spinCount="100000" sheet="1" formatCells="0" formatColumns="0" formatRows="0"/>
  <mergeCells count="10">
    <mergeCell ref="K8:K9"/>
    <mergeCell ref="M8:M9"/>
    <mergeCell ref="M11:M25"/>
    <mergeCell ref="A7:B9"/>
    <mergeCell ref="C7:C9"/>
    <mergeCell ref="D7:D8"/>
    <mergeCell ref="E7:I7"/>
    <mergeCell ref="E8:E9"/>
    <mergeCell ref="F8:H8"/>
    <mergeCell ref="I8:I9"/>
  </mergeCells>
  <conditionalFormatting sqref="I12:I25">
    <cfRule type="expression" dxfId="16" priority="1">
      <formula>I12&lt;0</formula>
    </cfRule>
  </conditionalFormatting>
  <pageMargins left="0.23622047244094491" right="0.23622047244094491" top="0.55118110236220474" bottom="0.55118110236220474" header="0.31496062992125984" footer="0.31496062992125984"/>
  <pageSetup paperSize="9" orientation="landscape" r:id="rId1"/>
  <headerFooter>
    <oddFooter>&amp;LYG monitoring (pilot)&amp;R&amp;A\&amp;P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2E6D1-C932-4F76-A953-1E4A4C1962AE}">
  <dimension ref="A1:K24"/>
  <sheetViews>
    <sheetView topLeftCell="E10" zoomScaleNormal="100" workbookViewId="0">
      <selection activeCell="K10" sqref="K10:K23"/>
    </sheetView>
  </sheetViews>
  <sheetFormatPr defaultColWidth="9.1796875" defaultRowHeight="14.5" x14ac:dyDescent="0.35"/>
  <cols>
    <col min="1" max="1" width="3.1796875" customWidth="1"/>
    <col min="2" max="2" width="19.453125" customWidth="1"/>
    <col min="3" max="7" width="18.26953125" customWidth="1"/>
    <col min="8" max="8" width="2.6328125" customWidth="1"/>
    <col min="9" max="9" width="49.26953125" style="67" customWidth="1"/>
    <col min="10" max="10" width="3" customWidth="1"/>
    <col min="11" max="11" width="36.54296875" customWidth="1"/>
  </cols>
  <sheetData>
    <row r="1" spans="1:11" s="11" customFormat="1" ht="18.5" x14ac:dyDescent="0.45">
      <c r="A1" s="12" t="s">
        <v>156</v>
      </c>
      <c r="I1" s="66"/>
    </row>
    <row r="2" spans="1:11" ht="15" thickBot="1" x14ac:dyDescent="0.4">
      <c r="A2" s="1"/>
    </row>
    <row r="3" spans="1:11" s="90" customFormat="1" ht="19" thickBot="1" x14ac:dyDescent="0.5">
      <c r="A3" s="83" t="s">
        <v>181</v>
      </c>
      <c r="B3" s="84"/>
      <c r="C3" s="84"/>
      <c r="D3" s="85">
        <f>RefYear_Main</f>
        <v>2025</v>
      </c>
      <c r="E3" s="82"/>
      <c r="F3" s="86"/>
      <c r="G3" s="87"/>
      <c r="H3" s="88"/>
      <c r="I3" s="88"/>
      <c r="J3" s="89"/>
    </row>
    <row r="4" spans="1:11" s="90" customFormat="1" ht="19" thickBot="1" x14ac:dyDescent="0.5">
      <c r="A4" s="136"/>
      <c r="B4" s="136"/>
      <c r="C4" s="136"/>
      <c r="D4" s="137"/>
      <c r="E4" s="138"/>
      <c r="F4" s="138"/>
      <c r="G4" s="88"/>
      <c r="H4" s="88"/>
      <c r="I4" s="88"/>
      <c r="J4" s="89"/>
    </row>
    <row r="5" spans="1:11" s="90" customFormat="1" ht="19" thickBot="1" x14ac:dyDescent="0.5">
      <c r="A5" s="139" t="s">
        <v>225</v>
      </c>
      <c r="B5" s="140"/>
      <c r="C5" s="140"/>
      <c r="D5" s="141"/>
      <c r="E5" s="140"/>
      <c r="F5" s="140"/>
      <c r="G5" s="142"/>
      <c r="H5" s="88"/>
      <c r="I5" s="89"/>
    </row>
    <row r="6" spans="1:11" ht="15" thickBot="1" x14ac:dyDescent="0.4">
      <c r="A6" s="1"/>
    </row>
    <row r="7" spans="1:11" s="1" customFormat="1" ht="15" thickTop="1" x14ac:dyDescent="0.35">
      <c r="A7" s="242" t="s">
        <v>126</v>
      </c>
      <c r="B7" s="243"/>
      <c r="C7" s="236" t="s">
        <v>127</v>
      </c>
      <c r="D7" s="237"/>
      <c r="E7" s="237"/>
      <c r="F7" s="237"/>
      <c r="G7" s="238"/>
      <c r="I7" s="65" t="s">
        <v>121</v>
      </c>
      <c r="J7" s="18"/>
      <c r="K7" s="72" t="s">
        <v>122</v>
      </c>
    </row>
    <row r="8" spans="1:11" s="1" customFormat="1" ht="25.5" customHeight="1" x14ac:dyDescent="0.35">
      <c r="A8" s="244"/>
      <c r="B8" s="245"/>
      <c r="C8" s="239"/>
      <c r="D8" s="240"/>
      <c r="E8" s="240"/>
      <c r="F8" s="240"/>
      <c r="G8" s="241"/>
      <c r="I8" s="73" t="s">
        <v>124</v>
      </c>
      <c r="J8" s="18"/>
      <c r="K8" s="235" t="s">
        <v>123</v>
      </c>
    </row>
    <row r="9" spans="1:11" ht="15" customHeight="1" x14ac:dyDescent="0.35">
      <c r="A9" s="4" t="s">
        <v>2</v>
      </c>
      <c r="B9" s="5"/>
      <c r="C9" s="8" t="s">
        <v>3</v>
      </c>
      <c r="D9" s="9" t="s">
        <v>12</v>
      </c>
      <c r="E9" s="13" t="s">
        <v>128</v>
      </c>
      <c r="F9" s="13" t="s">
        <v>129</v>
      </c>
      <c r="G9" s="10" t="s">
        <v>130</v>
      </c>
      <c r="I9" s="69" t="str" cm="1">
        <f t="array" ref="I9">IF(SUM(IF(C10:G13&lt;(C15:G18+C20:G23),1,0)),"!! Check sum by sex for one or more columns/rows","")</f>
        <v/>
      </c>
      <c r="K9" s="235"/>
    </row>
    <row r="10" spans="1:11" x14ac:dyDescent="0.35">
      <c r="A10" s="2"/>
      <c r="B10" s="6" t="s">
        <v>441</v>
      </c>
      <c r="C10" s="124">
        <f>C15+C20</f>
        <v>462</v>
      </c>
      <c r="D10" s="229">
        <f t="shared" ref="D10:G10" si="0">D15+D20</f>
        <v>354.71564027402894</v>
      </c>
      <c r="E10" s="374">
        <f t="shared" si="0"/>
        <v>34.387023324918772</v>
      </c>
      <c r="F10" s="374">
        <f t="shared" si="0"/>
        <v>35.390613560078449</v>
      </c>
      <c r="G10" s="375">
        <f t="shared" si="0"/>
        <v>4.7854113655640376</v>
      </c>
      <c r="I10" s="69" t="str">
        <f>IF(C10&lt;SUM(D10:G10),"!! Total stocks must be &lt;= sum by duration","")</f>
        <v/>
      </c>
      <c r="K10" s="246" t="s">
        <v>695</v>
      </c>
    </row>
    <row r="11" spans="1:11" x14ac:dyDescent="0.35">
      <c r="A11" s="2"/>
      <c r="B11" s="6" t="s">
        <v>6</v>
      </c>
      <c r="C11" s="124">
        <f>C16+C21</f>
        <v>241</v>
      </c>
      <c r="D11" s="229">
        <f t="shared" ref="D11:G11" si="1">D16+D21</f>
        <v>199.68292049644288</v>
      </c>
      <c r="E11" s="374">
        <f t="shared" si="1"/>
        <v>16.589084488757337</v>
      </c>
      <c r="F11" s="374">
        <f t="shared" si="1"/>
        <v>20.720361427013554</v>
      </c>
      <c r="G11" s="375">
        <f t="shared" si="1"/>
        <v>4.0076335877862599</v>
      </c>
      <c r="I11" s="69" t="str">
        <f>IF(C11&lt;SUM(D11:G11),"!! Total stocks must be &lt;= sum by duration","")</f>
        <v/>
      </c>
      <c r="K11" s="246"/>
    </row>
    <row r="12" spans="1:11" x14ac:dyDescent="0.35">
      <c r="A12" s="2"/>
      <c r="B12" s="6" t="s">
        <v>7</v>
      </c>
      <c r="C12" s="124">
        <f>C17+C22</f>
        <v>145</v>
      </c>
      <c r="D12" s="229">
        <f t="shared" ref="D12:G12" si="2">D17+D22</f>
        <v>111.36429872495447</v>
      </c>
      <c r="E12" s="374">
        <f t="shared" si="2"/>
        <v>14.182149362477229</v>
      </c>
      <c r="F12" s="374">
        <f t="shared" si="2"/>
        <v>11.954462659380692</v>
      </c>
      <c r="G12" s="375">
        <f t="shared" si="2"/>
        <v>0.77777777777777768</v>
      </c>
      <c r="I12" s="69" t="str">
        <f>IF(C12&lt;SUM(D12:G12),"!! Total stocks must be &lt;= sum by duration","")</f>
        <v/>
      </c>
      <c r="K12" s="246"/>
    </row>
    <row r="13" spans="1:11" x14ac:dyDescent="0.35">
      <c r="A13" s="2"/>
      <c r="B13" s="6" t="s">
        <v>440</v>
      </c>
      <c r="C13" s="124">
        <f>C18+C23</f>
        <v>50</v>
      </c>
      <c r="D13" s="229">
        <f t="shared" ref="D13:G13" si="3">D18+D23</f>
        <v>43.668421052631579</v>
      </c>
      <c r="E13" s="374">
        <f t="shared" si="3"/>
        <v>3.6157894736842104</v>
      </c>
      <c r="F13" s="374">
        <f t="shared" si="3"/>
        <v>2.7157894736842105</v>
      </c>
      <c r="G13" s="375">
        <f t="shared" si="3"/>
        <v>0</v>
      </c>
      <c r="I13" s="69" t="str">
        <f>IF(C13&lt;SUM(D13:G13),"!! Total stocks must be &lt;= sum by duration","")</f>
        <v/>
      </c>
      <c r="K13" s="246"/>
    </row>
    <row r="14" spans="1:11" x14ac:dyDescent="0.35">
      <c r="A14" s="4" t="s">
        <v>4</v>
      </c>
      <c r="B14" s="5"/>
      <c r="C14" s="378" t="str">
        <f t="shared" ref="C14:F14" si="4">C9</f>
        <v>Total</v>
      </c>
      <c r="D14" s="379" t="str">
        <f t="shared" si="4"/>
        <v>&lt;4 months</v>
      </c>
      <c r="E14" s="380" t="str">
        <f t="shared" si="4"/>
        <v>4-5 months</v>
      </c>
      <c r="F14" s="380" t="str">
        <f t="shared" si="4"/>
        <v>6-11 months</v>
      </c>
      <c r="G14" s="381" t="str">
        <f>G9</f>
        <v>12+ months</v>
      </c>
      <c r="I14" s="69" t="str" cm="1">
        <f t="array" ref="I14">IF(SUM(IF(C15:G15&lt;(C16:G16+C17:G17+C18:G18),1,0)),"!! Check sum by age for one or more columns","")</f>
        <v/>
      </c>
      <c r="K14" s="246"/>
    </row>
    <row r="15" spans="1:11" x14ac:dyDescent="0.35">
      <c r="A15" s="2"/>
      <c r="B15" s="6" t="s">
        <v>441</v>
      </c>
      <c r="C15" s="232">
        <v>259</v>
      </c>
      <c r="D15" s="376">
        <f>SUM(D16:D18)</f>
        <v>197.49649827143975</v>
      </c>
      <c r="E15" s="376">
        <f>SUM(E16:E18)</f>
        <v>20.714575666332106</v>
      </c>
      <c r="F15" s="376">
        <f>SUM(F16:F18)</f>
        <v>20.06761458681833</v>
      </c>
      <c r="G15" s="375">
        <f>SUM(G16:G18)</f>
        <v>0</v>
      </c>
      <c r="I15" s="69" t="str">
        <f>IF(C15&lt;SUM(D15:G15),"!! Total stocks must be &lt;= sum by duration","")</f>
        <v/>
      </c>
      <c r="K15" s="246"/>
    </row>
    <row r="16" spans="1:11" x14ac:dyDescent="0.35">
      <c r="A16" s="2"/>
      <c r="B16" s="6" t="s">
        <v>6</v>
      </c>
      <c r="C16" s="232">
        <v>136</v>
      </c>
      <c r="D16" s="229">
        <f>$C16*'[1]Exited participant'!K6</f>
        <v>114.72108843537416</v>
      </c>
      <c r="E16" s="229">
        <f>$C16*'[1]Exited participant'!L6</f>
        <v>10.17687074829932</v>
      </c>
      <c r="F16" s="229">
        <f>$C16*'[1]Exited participant'!M6</f>
        <v>11.102040816326531</v>
      </c>
      <c r="G16" s="375">
        <f>$C16*'[1]Exited participant'!Q6</f>
        <v>0</v>
      </c>
      <c r="I16" s="69" t="str">
        <f>IF(C16&lt;SUM(D16:G16),"!! Total stocks must be &lt;= sum by duration","")</f>
        <v/>
      </c>
      <c r="K16" s="246"/>
    </row>
    <row r="17" spans="1:11" x14ac:dyDescent="0.35">
      <c r="A17" s="2"/>
      <c r="B17" s="6" t="s">
        <v>7</v>
      </c>
      <c r="C17" s="232">
        <v>82</v>
      </c>
      <c r="D17" s="229">
        <f>$C17*'[1]Exited participant'!K7</f>
        <v>58.475409836065573</v>
      </c>
      <c r="E17" s="229">
        <f>$C17*'[1]Exited participant'!L7</f>
        <v>8.7377049180327866</v>
      </c>
      <c r="F17" s="229">
        <f>$C17*'[1]Exited participant'!M7</f>
        <v>8.0655737704918025</v>
      </c>
      <c r="G17" s="375">
        <f>$C17*'[1]Exited participant'!Q7</f>
        <v>0</v>
      </c>
      <c r="I17" s="69" t="str">
        <f>IF(C17&lt;SUM(D17:G17),"!! Total stocks must be &lt;= sum by duration","")</f>
        <v/>
      </c>
      <c r="K17" s="246"/>
    </row>
    <row r="18" spans="1:11" x14ac:dyDescent="0.35">
      <c r="A18" s="2"/>
      <c r="B18" s="6" t="s">
        <v>440</v>
      </c>
      <c r="C18" s="232">
        <v>27</v>
      </c>
      <c r="D18" s="229">
        <f>$C18*'[1]Exited participant'!K8</f>
        <v>24.3</v>
      </c>
      <c r="E18" s="229">
        <f>$C18*'[1]Exited participant'!L8</f>
        <v>1.8</v>
      </c>
      <c r="F18" s="229">
        <f>$C18*'[1]Exited participant'!M8</f>
        <v>0.9</v>
      </c>
      <c r="G18" s="375">
        <f>$C18*'[1]Exited participant'!Q8</f>
        <v>0</v>
      </c>
      <c r="I18" s="69" t="str">
        <f>IF(C18&lt;SUM(D18:G18),"!! Total stocks must be &lt;= sum by duration","")</f>
        <v/>
      </c>
      <c r="K18" s="246"/>
    </row>
    <row r="19" spans="1:11" x14ac:dyDescent="0.35">
      <c r="A19" s="4" t="s">
        <v>5</v>
      </c>
      <c r="B19" s="5"/>
      <c r="C19" s="378" t="str">
        <f>C9</f>
        <v>Total</v>
      </c>
      <c r="D19" s="379" t="str">
        <f t="shared" ref="D19:G19" si="5">D14</f>
        <v>&lt;4 months</v>
      </c>
      <c r="E19" s="380" t="str">
        <f t="shared" si="5"/>
        <v>4-5 months</v>
      </c>
      <c r="F19" s="380" t="str">
        <f t="shared" si="5"/>
        <v>6-11 months</v>
      </c>
      <c r="G19" s="381" t="str">
        <f t="shared" si="5"/>
        <v>12+ months</v>
      </c>
      <c r="I19" s="69" t="str" cm="1">
        <f t="array" ref="I19">IF(SUM(IF(C20:G20&lt;(C21:G21+C22:G22+C23:G23),1,0)),"!! Check sum by age for one or more columns","")</f>
        <v/>
      </c>
      <c r="K19" s="246"/>
    </row>
    <row r="20" spans="1:11" x14ac:dyDescent="0.35">
      <c r="A20" s="2"/>
      <c r="B20" s="6" t="s">
        <v>441</v>
      </c>
      <c r="C20" s="232">
        <v>203</v>
      </c>
      <c r="D20" s="376">
        <f>SUM(D21:D23)</f>
        <v>157.21914200258917</v>
      </c>
      <c r="E20" s="376">
        <f>SUM(E21:E23)</f>
        <v>13.67244765858667</v>
      </c>
      <c r="F20" s="376">
        <f>SUM(F21:F23)</f>
        <v>15.322998973260123</v>
      </c>
      <c r="G20" s="375">
        <f>SUM(G21:G23)</f>
        <v>4.7854113655640376</v>
      </c>
      <c r="I20" s="69" t="str">
        <f>IF(C20&lt;SUM(D20:G20),"!! Total stocks must be &lt;= sum by duration","")</f>
        <v/>
      </c>
      <c r="K20" s="246"/>
    </row>
    <row r="21" spans="1:11" x14ac:dyDescent="0.35">
      <c r="A21" s="2"/>
      <c r="B21" s="6" t="s">
        <v>6</v>
      </c>
      <c r="C21" s="233">
        <v>105</v>
      </c>
      <c r="D21" s="229">
        <f>$C21*'[1]Exited participant'!K11</f>
        <v>84.961832061068705</v>
      </c>
      <c r="E21" s="229">
        <f>$C21*'[1]Exited participant'!L11</f>
        <v>6.4122137404580153</v>
      </c>
      <c r="F21" s="229">
        <f>$C21*'[1]Exited participant'!M11</f>
        <v>9.6183206106870234</v>
      </c>
      <c r="G21" s="375">
        <f>$C21*'[1]Exited participant'!Q11</f>
        <v>4.0076335877862599</v>
      </c>
      <c r="H21" s="231"/>
      <c r="I21" s="69" t="str">
        <f>IF(C21&lt;SUM(D21:G21),"!! Total stocks must be &lt;= sum by duration","")</f>
        <v/>
      </c>
      <c r="K21" s="246"/>
    </row>
    <row r="22" spans="1:11" x14ac:dyDescent="0.35">
      <c r="A22" s="2"/>
      <c r="B22" s="6" t="s">
        <v>7</v>
      </c>
      <c r="C22" s="233">
        <v>63</v>
      </c>
      <c r="D22" s="229">
        <f>$C22*'[1]Exited participant'!K12</f>
        <v>52.888888888888886</v>
      </c>
      <c r="E22" s="229">
        <f>$C22*'[1]Exited participant'!L12</f>
        <v>5.4444444444444438</v>
      </c>
      <c r="F22" s="229">
        <f>$C22*'[1]Exited participant'!M12</f>
        <v>3.8888888888888888</v>
      </c>
      <c r="G22" s="375">
        <f>$C22*'[1]Exited participant'!Q12</f>
        <v>0.77777777777777768</v>
      </c>
      <c r="I22" s="69" t="str">
        <f>IF(C22&lt;SUM(D22:G22),"!! Total stocks must be &lt;= sum by duration","")</f>
        <v/>
      </c>
      <c r="K22" s="246"/>
    </row>
    <row r="23" spans="1:11" ht="15" thickBot="1" x14ac:dyDescent="0.4">
      <c r="A23" s="3"/>
      <c r="B23" s="7" t="s">
        <v>440</v>
      </c>
      <c r="C23" s="234">
        <v>23</v>
      </c>
      <c r="D23" s="377">
        <f>$C23*'[1]Exited participant'!K13</f>
        <v>19.368421052631579</v>
      </c>
      <c r="E23" s="377">
        <f>$C23*'[1]Exited participant'!L13</f>
        <v>1.8157894736842104</v>
      </c>
      <c r="F23" s="377">
        <f>$C23*'[1]Exited participant'!M13</f>
        <v>1.8157894736842104</v>
      </c>
      <c r="G23" s="377">
        <f>$C23*'[1]Exited participant'!Q13</f>
        <v>0</v>
      </c>
      <c r="I23" s="70" t="str">
        <f>IF(C23&lt;SUM(D23:G23),"!! Total stocks must be &lt;= sum by duration","")</f>
        <v/>
      </c>
      <c r="K23" s="247"/>
    </row>
    <row r="24" spans="1:11" ht="15" thickTop="1" x14ac:dyDescent="0.35"/>
  </sheetData>
  <sheetProtection formatCells="0" formatColumns="0" formatRows="0"/>
  <mergeCells count="4">
    <mergeCell ref="A7:B8"/>
    <mergeCell ref="C7:G8"/>
    <mergeCell ref="K8:K9"/>
    <mergeCell ref="K10:K23"/>
  </mergeCells>
  <pageMargins left="0.23622047244094491" right="0.23622047244094491" top="0.74803149606299213" bottom="0.74803149606299213" header="0.31496062992125984" footer="0.31496062992125984"/>
  <pageSetup paperSize="9" orientation="landscape" r:id="rId1"/>
  <headerFooter>
    <oddFooter>&amp;LYG monitoring (pilot)&amp;R&amp;A\&amp;P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R44"/>
  <sheetViews>
    <sheetView topLeftCell="A26" zoomScale="62" workbookViewId="0">
      <selection activeCell="R10" sqref="R10:R43"/>
    </sheetView>
  </sheetViews>
  <sheetFormatPr defaultColWidth="9.1796875" defaultRowHeight="14.5" x14ac:dyDescent="0.35"/>
  <cols>
    <col min="1" max="1" width="2.26953125" customWidth="1"/>
    <col min="2" max="2" width="19.7265625" customWidth="1"/>
    <col min="3" max="3" width="9.7265625" customWidth="1"/>
    <col min="4" max="4" width="9.81640625" customWidth="1"/>
    <col min="5" max="5" width="10.1796875" customWidth="1"/>
    <col min="6" max="11" width="10.453125" customWidth="1"/>
    <col min="12" max="12" width="10" customWidth="1"/>
    <col min="13" max="13" width="9.1796875" bestFit="1" customWidth="1"/>
    <col min="14" max="14" width="10.26953125" style="31" customWidth="1"/>
    <col min="15" max="15" width="3.54296875" customWidth="1"/>
    <col min="16" max="16" width="49.26953125" style="67" customWidth="1"/>
    <col min="17" max="17" width="3" customWidth="1"/>
    <col min="18" max="18" width="36.54296875" customWidth="1"/>
  </cols>
  <sheetData>
    <row r="1" spans="1:18" s="11" customFormat="1" ht="18.5" x14ac:dyDescent="0.45">
      <c r="A1" s="12" t="s">
        <v>157</v>
      </c>
      <c r="N1" s="30"/>
      <c r="P1" s="66"/>
    </row>
    <row r="2" spans="1:18" ht="15" thickBot="1" x14ac:dyDescent="0.4">
      <c r="A2" s="1"/>
      <c r="B2" s="63"/>
    </row>
    <row r="3" spans="1:18" s="90" customFormat="1" ht="19" thickBot="1" x14ac:dyDescent="0.5">
      <c r="A3" s="83" t="s">
        <v>181</v>
      </c>
      <c r="B3" s="84"/>
      <c r="C3" s="84"/>
      <c r="D3" s="92"/>
      <c r="E3" s="93">
        <f>RefYear_Main</f>
        <v>2025</v>
      </c>
      <c r="F3" s="82"/>
      <c r="G3" s="82"/>
      <c r="H3" s="91"/>
      <c r="I3" s="91"/>
      <c r="J3" s="91"/>
      <c r="K3" s="91"/>
      <c r="L3" s="91"/>
      <c r="M3" s="91"/>
      <c r="N3" s="87"/>
    </row>
    <row r="4" spans="1:18" s="90" customFormat="1" ht="19" thickBot="1" x14ac:dyDescent="0.5">
      <c r="A4" s="136"/>
      <c r="B4" s="136"/>
      <c r="C4" s="136"/>
      <c r="D4" s="137"/>
      <c r="E4" s="138"/>
      <c r="F4" s="138"/>
      <c r="G4" s="88"/>
      <c r="H4" s="88"/>
      <c r="I4" s="88"/>
      <c r="J4" s="89"/>
    </row>
    <row r="5" spans="1:18" s="90" customFormat="1" ht="19" thickBot="1" x14ac:dyDescent="0.5">
      <c r="A5" s="139" t="s">
        <v>225</v>
      </c>
      <c r="B5" s="140"/>
      <c r="C5" s="140"/>
      <c r="D5" s="141"/>
      <c r="E5" s="140"/>
      <c r="F5" s="140"/>
      <c r="G5" s="140"/>
      <c r="H5" s="140"/>
      <c r="I5" s="140"/>
      <c r="J5" s="140"/>
      <c r="K5" s="140"/>
      <c r="L5" s="140"/>
      <c r="M5" s="140"/>
      <c r="N5" s="142"/>
    </row>
    <row r="6" spans="1:18" ht="15" thickBot="1" x14ac:dyDescent="0.4">
      <c r="A6" s="1"/>
    </row>
    <row r="7" spans="1:18" s="18" customFormat="1" ht="15" thickTop="1" x14ac:dyDescent="0.35">
      <c r="A7" s="242" t="s">
        <v>131</v>
      </c>
      <c r="B7" s="243"/>
      <c r="C7" s="331" t="s">
        <v>101</v>
      </c>
      <c r="D7" s="326" t="s">
        <v>132</v>
      </c>
      <c r="E7" s="326"/>
      <c r="F7" s="326"/>
      <c r="G7" s="326"/>
      <c r="H7" s="326"/>
      <c r="I7" s="326"/>
      <c r="J7" s="326"/>
      <c r="K7" s="326"/>
      <c r="L7" s="326"/>
      <c r="M7" s="322"/>
      <c r="N7" s="334"/>
      <c r="P7" s="65" t="s">
        <v>121</v>
      </c>
      <c r="R7" s="72" t="s">
        <v>122</v>
      </c>
    </row>
    <row r="8" spans="1:18" s="18" customFormat="1" ht="33.75" customHeight="1" x14ac:dyDescent="0.35">
      <c r="A8" s="244"/>
      <c r="B8" s="245"/>
      <c r="C8" s="332"/>
      <c r="D8" s="327" t="s">
        <v>97</v>
      </c>
      <c r="E8" s="327"/>
      <c r="F8" s="327"/>
      <c r="G8" s="327"/>
      <c r="H8" s="327"/>
      <c r="I8" s="327"/>
      <c r="J8" s="327"/>
      <c r="K8" s="327"/>
      <c r="L8" s="335" t="s">
        <v>98</v>
      </c>
      <c r="M8" s="336"/>
      <c r="N8" s="337" t="s">
        <v>21</v>
      </c>
      <c r="P8" s="325" t="s">
        <v>171</v>
      </c>
      <c r="R8" s="235" t="s">
        <v>123</v>
      </c>
    </row>
    <row r="9" spans="1:18" s="18" customFormat="1" ht="15" thickBot="1" x14ac:dyDescent="0.4">
      <c r="A9" s="244"/>
      <c r="B9" s="245"/>
      <c r="C9" s="333"/>
      <c r="D9" s="327" t="s">
        <v>3</v>
      </c>
      <c r="E9" s="327"/>
      <c r="F9" s="327"/>
      <c r="G9" s="327"/>
      <c r="H9" s="327" t="s">
        <v>19</v>
      </c>
      <c r="I9" s="327"/>
      <c r="J9" s="327"/>
      <c r="K9" s="327"/>
      <c r="L9" s="340" t="s">
        <v>113</v>
      </c>
      <c r="M9" s="340" t="s">
        <v>114</v>
      </c>
      <c r="N9" s="338"/>
      <c r="P9" s="325"/>
      <c r="Q9"/>
      <c r="R9" s="235"/>
    </row>
    <row r="10" spans="1:18" s="20" customFormat="1" ht="29.5" thickBot="1" x14ac:dyDescent="0.4">
      <c r="A10" s="244"/>
      <c r="B10" s="245"/>
      <c r="C10" s="19" t="s">
        <v>3</v>
      </c>
      <c r="D10" s="33" t="s">
        <v>109</v>
      </c>
      <c r="E10" s="33" t="s">
        <v>110</v>
      </c>
      <c r="F10" s="33" t="s">
        <v>111</v>
      </c>
      <c r="G10" s="33" t="s">
        <v>112</v>
      </c>
      <c r="H10" s="33" t="s">
        <v>102</v>
      </c>
      <c r="I10" s="33" t="s">
        <v>103</v>
      </c>
      <c r="J10" s="33" t="s">
        <v>104</v>
      </c>
      <c r="K10" s="33" t="s">
        <v>105</v>
      </c>
      <c r="L10" s="340"/>
      <c r="M10" s="340"/>
      <c r="N10" s="338"/>
      <c r="P10" s="339"/>
      <c r="Q10"/>
      <c r="R10" s="341" t="s">
        <v>698</v>
      </c>
    </row>
    <row r="11" spans="1:18" x14ac:dyDescent="0.35">
      <c r="A11" s="21" t="s">
        <v>24</v>
      </c>
      <c r="B11" s="22"/>
      <c r="C11" s="23"/>
      <c r="D11" s="24"/>
      <c r="E11" s="25"/>
      <c r="F11" s="25"/>
      <c r="G11" s="25"/>
      <c r="H11" s="25"/>
      <c r="I11" s="25"/>
      <c r="J11" s="25"/>
      <c r="K11" s="25"/>
      <c r="L11" s="25"/>
      <c r="M11" s="25"/>
      <c r="N11" s="32"/>
      <c r="P11" s="69" t="str" cm="1">
        <f t="array" ref="P11">IF(SUM(IF(C13:M26&lt;C30:M43,1,0)),"!! Exits within 4 months must &lt;= total exits in all cases","")</f>
        <v/>
      </c>
      <c r="R11" s="246"/>
    </row>
    <row r="12" spans="1:18" x14ac:dyDescent="0.35">
      <c r="A12" s="4" t="s">
        <v>106</v>
      </c>
      <c r="B12" s="5"/>
      <c r="C12" s="39" t="s">
        <v>3</v>
      </c>
      <c r="D12" s="40" t="s">
        <v>15</v>
      </c>
      <c r="E12" s="40" t="s">
        <v>16</v>
      </c>
      <c r="F12" s="40" t="s">
        <v>17</v>
      </c>
      <c r="G12" s="40" t="s">
        <v>18</v>
      </c>
      <c r="H12" s="40" t="str">
        <f>D$12 &amp; " (subsidised)"</f>
        <v>Employment (subsidised)</v>
      </c>
      <c r="I12" s="40" t="str">
        <f t="shared" ref="I12:K12" si="0">E$12 &amp; " (subsidised)"</f>
        <v>Education (subsidised)</v>
      </c>
      <c r="J12" s="40" t="str">
        <f t="shared" si="0"/>
        <v>Apprenticeship (subsidised)</v>
      </c>
      <c r="K12" s="40" t="str">
        <f t="shared" si="0"/>
        <v>Traineeship (subsidised)</v>
      </c>
      <c r="L12" s="40" t="s">
        <v>20</v>
      </c>
      <c r="M12" s="41" t="s">
        <v>100</v>
      </c>
      <c r="N12" s="42" t="s">
        <v>21</v>
      </c>
      <c r="P12" s="69" t="str" cm="1">
        <f t="array" ref="P12">IF(SUM(IF(C13:M16&lt;(C18:M21+C23:M26),1,0)),"!! Check sum by sex for one or more columns/rows","")</f>
        <v/>
      </c>
      <c r="R12" s="246"/>
    </row>
    <row r="13" spans="1:18" x14ac:dyDescent="0.35">
      <c r="A13" s="2"/>
      <c r="B13" s="6" t="s">
        <v>441</v>
      </c>
      <c r="C13" s="131">
        <f>C18+C23</f>
        <v>542</v>
      </c>
      <c r="D13" s="131"/>
      <c r="E13" s="131"/>
      <c r="F13" s="131"/>
      <c r="G13" s="131"/>
      <c r="H13" s="131"/>
      <c r="I13" s="131"/>
      <c r="J13" s="131"/>
      <c r="K13" s="131"/>
      <c r="L13" s="131"/>
      <c r="M13" s="131"/>
      <c r="N13" s="127">
        <f>C13-SUM(D13:G13,L13:M13)</f>
        <v>542</v>
      </c>
      <c r="P13" s="69" t="str" cm="1">
        <f t="array" ref="P13">IF(C13&lt;SUM(D13:G13,L13:M13),"!! Total exits must be &gt;= sum by destination",IF(SUM(IF(H13:K13&gt;D13:G13,1,0))&gt;0,"!! Exits to subs. dests. must be &lt;= total to destination",""))</f>
        <v/>
      </c>
      <c r="R13" s="246"/>
    </row>
    <row r="14" spans="1:18" x14ac:dyDescent="0.35">
      <c r="A14" s="2"/>
      <c r="B14" s="6" t="s">
        <v>6</v>
      </c>
      <c r="C14" s="131">
        <f>C19+C24</f>
        <v>278</v>
      </c>
      <c r="D14" s="131"/>
      <c r="E14" s="131"/>
      <c r="F14" s="131"/>
      <c r="G14" s="131"/>
      <c r="H14" s="131"/>
      <c r="I14" s="131"/>
      <c r="J14" s="131"/>
      <c r="K14" s="131"/>
      <c r="L14" s="131"/>
      <c r="M14" s="131"/>
      <c r="N14" s="127">
        <f>C14-SUM(D14:G14,L14:M14)</f>
        <v>278</v>
      </c>
      <c r="P14" s="69" t="str" cm="1">
        <f t="array" ref="P14">IF(C14&lt;SUM(D14:G14,L14:M14),"!! Total exits must be &gt;= sum by destination",IF(SUM(IF(H14:K14&gt;D14:G14,1,0))&gt;0,"!! Exits to subs. dests. must be &lt;= total to destination",""))</f>
        <v/>
      </c>
      <c r="R14" s="246"/>
    </row>
    <row r="15" spans="1:18" x14ac:dyDescent="0.35">
      <c r="A15" s="2"/>
      <c r="B15" s="6" t="s">
        <v>7</v>
      </c>
      <c r="C15" s="131">
        <f>C20+C25</f>
        <v>203</v>
      </c>
      <c r="D15" s="131"/>
      <c r="E15" s="131"/>
      <c r="F15" s="131"/>
      <c r="G15" s="131"/>
      <c r="H15" s="131"/>
      <c r="I15" s="131"/>
      <c r="J15" s="131"/>
      <c r="K15" s="131"/>
      <c r="L15" s="131"/>
      <c r="M15" s="131"/>
      <c r="N15" s="127">
        <f>C15-SUM(D15:G15,L15:M15)</f>
        <v>203</v>
      </c>
      <c r="P15" s="69" t="str" cm="1">
        <f t="array" ref="P15">IF(C15&lt;SUM(D15:G15,L15:M15),"!! Total exits must be &gt;= sum by destination",IF(SUM(IF(H15:K15&gt;D15:G15,1,0))&gt;0,"!! Exits to subs. dests. must be &lt;= total to destination",""))</f>
        <v/>
      </c>
      <c r="R15" s="246"/>
    </row>
    <row r="16" spans="1:18" x14ac:dyDescent="0.35">
      <c r="A16" s="2"/>
      <c r="B16" s="6" t="s">
        <v>440</v>
      </c>
      <c r="C16" s="131">
        <f>C21+C26</f>
        <v>68</v>
      </c>
      <c r="D16" s="131"/>
      <c r="E16" s="131"/>
      <c r="F16" s="131"/>
      <c r="G16" s="131"/>
      <c r="H16" s="131"/>
      <c r="I16" s="131"/>
      <c r="J16" s="131"/>
      <c r="K16" s="131"/>
      <c r="L16" s="131"/>
      <c r="M16" s="131"/>
      <c r="N16" s="127">
        <f>C16-SUM(D16:G16,L16:M16)</f>
        <v>68</v>
      </c>
      <c r="P16" s="69" t="str" cm="1">
        <f t="array" ref="P16">IF(C16&lt;SUM(D16:G16,L16:M16),"!! Total exits must be &gt;= sum by destination",IF(SUM(IF(H16:K16&gt;D16:G16,1,0))&gt;0,"!! Exits to subs. dests. must be &lt;= total to destination",""))</f>
        <v/>
      </c>
      <c r="R16" s="246"/>
    </row>
    <row r="17" spans="1:18" x14ac:dyDescent="0.35">
      <c r="A17" s="4" t="s">
        <v>4</v>
      </c>
      <c r="B17" s="5"/>
      <c r="C17" s="39" t="str">
        <f>C$12</f>
        <v>Total</v>
      </c>
      <c r="D17" s="40" t="str">
        <f t="shared" ref="D17:N17" si="1">D$12</f>
        <v>Employment</v>
      </c>
      <c r="E17" s="40" t="str">
        <f t="shared" si="1"/>
        <v>Education</v>
      </c>
      <c r="F17" s="40" t="str">
        <f t="shared" si="1"/>
        <v>Apprenticeship</v>
      </c>
      <c r="G17" s="40" t="str">
        <f t="shared" si="1"/>
        <v>Traineeship</v>
      </c>
      <c r="H17" s="40" t="str">
        <f t="shared" si="1"/>
        <v>Employment (subsidised)</v>
      </c>
      <c r="I17" s="40" t="str">
        <f t="shared" si="1"/>
        <v>Education (subsidised)</v>
      </c>
      <c r="J17" s="40" t="str">
        <f t="shared" si="1"/>
        <v>Apprenticeship (subsidised)</v>
      </c>
      <c r="K17" s="40" t="str">
        <f t="shared" si="1"/>
        <v>Traineeship (subsidised)</v>
      </c>
      <c r="L17" s="40" t="str">
        <f t="shared" si="1"/>
        <v>Unemployment</v>
      </c>
      <c r="M17" s="41" t="str">
        <f t="shared" si="1"/>
        <v>Inactivity</v>
      </c>
      <c r="N17" s="42" t="str">
        <f t="shared" si="1"/>
        <v>Unknown</v>
      </c>
      <c r="P17" s="69" t="str" cm="1">
        <f t="array" ref="P17">IF(SUM(IF(C18:M18&lt;(C19:M19+C20:M20+C21:M21),1,0)),"!! Check sum by age for one or more columns","")</f>
        <v>!! Check sum by age for one or more columns</v>
      </c>
      <c r="R17" s="246"/>
    </row>
    <row r="18" spans="1:18" x14ac:dyDescent="0.35">
      <c r="A18" s="2"/>
      <c r="B18" s="6" t="s">
        <v>441</v>
      </c>
      <c r="C18" s="129">
        <f>'[1]Exited participant'!$G$5</f>
        <v>289</v>
      </c>
      <c r="D18" s="130"/>
      <c r="E18" s="131"/>
      <c r="F18" s="131"/>
      <c r="G18" s="131"/>
      <c r="H18" s="131"/>
      <c r="I18" s="131"/>
      <c r="J18" s="131"/>
      <c r="K18" s="131"/>
      <c r="L18" s="131"/>
      <c r="M18" s="131"/>
      <c r="N18" s="127">
        <f>C18-SUM(D18:G18,L18:M18)</f>
        <v>289</v>
      </c>
      <c r="P18" s="69" t="str" cm="1">
        <f t="array" ref="P18">IF(C18&lt;SUM(D18:G18,L18:M18),"!! Total exits must be &gt;= sum by destination",IF(SUM(IF(H18:K18&gt;D18:G18,1,0))&gt;0,"!! Exits to subs. dests. must be &lt;= total to destination",""))</f>
        <v/>
      </c>
      <c r="R18" s="246"/>
    </row>
    <row r="19" spans="1:18" x14ac:dyDescent="0.35">
      <c r="A19" s="2"/>
      <c r="B19" s="6" t="s">
        <v>6</v>
      </c>
      <c r="C19" s="129">
        <f>'[1]Exited participant'!$G$6</f>
        <v>147</v>
      </c>
      <c r="D19" s="130"/>
      <c r="E19" s="131"/>
      <c r="F19" s="131"/>
      <c r="G19" s="131"/>
      <c r="H19" s="131"/>
      <c r="I19" s="131"/>
      <c r="J19" s="131"/>
      <c r="K19" s="131"/>
      <c r="L19" s="131"/>
      <c r="M19" s="131"/>
      <c r="N19" s="127">
        <f>C19-SUM(D19:G19,L19:M19)</f>
        <v>147</v>
      </c>
      <c r="P19" s="69" t="str" cm="1">
        <f t="array" ref="P19">IF(C19&lt;SUM(D19:G19,L19:M19),"!! Total exits must be &gt;= sum by destination",IF(SUM(IF(H19:K19&gt;D19:G19,1,0))&gt;0,"!! Exits to subs. dests. must be &lt;= total to destination",""))</f>
        <v/>
      </c>
      <c r="R19" s="246"/>
    </row>
    <row r="20" spans="1:18" x14ac:dyDescent="0.35">
      <c r="A20" s="2"/>
      <c r="B20" s="6" t="s">
        <v>7</v>
      </c>
      <c r="C20" s="129">
        <f>'[1]Exited participant'!$G$7</f>
        <v>122</v>
      </c>
      <c r="D20" s="130"/>
      <c r="E20" s="131"/>
      <c r="F20" s="131"/>
      <c r="G20" s="131"/>
      <c r="H20" s="131"/>
      <c r="I20" s="131"/>
      <c r="J20" s="131"/>
      <c r="K20" s="131"/>
      <c r="L20" s="131"/>
      <c r="M20" s="131"/>
      <c r="N20" s="127">
        <f>C20-SUM(D20:G20,L20:M20)</f>
        <v>122</v>
      </c>
      <c r="P20" s="69" t="str" cm="1">
        <f t="array" ref="P20">IF(C20&lt;SUM(D20:G20,L20:M20),"!! Total exits must be &gt;= sum by destination",IF(SUM(IF(H20:K20&gt;D20:G20,1,0))&gt;0,"!! Exits to subs. dests. must be &lt;= total to destination",""))</f>
        <v/>
      </c>
      <c r="R20" s="246"/>
    </row>
    <row r="21" spans="1:18" x14ac:dyDescent="0.35">
      <c r="A21" s="2"/>
      <c r="B21" s="6" t="s">
        <v>440</v>
      </c>
      <c r="C21" s="129">
        <f>'[1]Exited participant'!$G$8</f>
        <v>30</v>
      </c>
      <c r="D21" s="130"/>
      <c r="E21" s="131"/>
      <c r="F21" s="131"/>
      <c r="G21" s="131"/>
      <c r="H21" s="131"/>
      <c r="I21" s="131"/>
      <c r="J21" s="131"/>
      <c r="K21" s="131"/>
      <c r="L21" s="131"/>
      <c r="M21" s="131"/>
      <c r="N21" s="127">
        <f>C21-SUM(D21:G21,L21:M21)</f>
        <v>30</v>
      </c>
      <c r="P21" s="69" t="str" cm="1">
        <f t="array" ref="P21">IF(C21&lt;SUM(D21:G21,L21:M21),"!! Total exits must be &gt;= sum by destination",IF(SUM(IF(H21:K21&gt;D21:G21,1,0))&gt;0,"!! Exits to subs. dests. must be &lt;= total to destination",""))</f>
        <v/>
      </c>
      <c r="R21" s="246"/>
    </row>
    <row r="22" spans="1:18" x14ac:dyDescent="0.35">
      <c r="A22" s="4" t="s">
        <v>5</v>
      </c>
      <c r="B22" s="5"/>
      <c r="C22" s="39" t="str">
        <f t="shared" ref="C22:N22" si="2">C$12</f>
        <v>Total</v>
      </c>
      <c r="D22" s="40" t="str">
        <f t="shared" si="2"/>
        <v>Employment</v>
      </c>
      <c r="E22" s="40" t="str">
        <f t="shared" si="2"/>
        <v>Education</v>
      </c>
      <c r="F22" s="40" t="str">
        <f t="shared" si="2"/>
        <v>Apprenticeship</v>
      </c>
      <c r="G22" s="40" t="str">
        <f t="shared" si="2"/>
        <v>Traineeship</v>
      </c>
      <c r="H22" s="40" t="str">
        <f t="shared" si="2"/>
        <v>Employment (subsidised)</v>
      </c>
      <c r="I22" s="40" t="str">
        <f t="shared" si="2"/>
        <v>Education (subsidised)</v>
      </c>
      <c r="J22" s="40" t="str">
        <f t="shared" si="2"/>
        <v>Apprenticeship (subsidised)</v>
      </c>
      <c r="K22" s="40" t="str">
        <f t="shared" si="2"/>
        <v>Traineeship (subsidised)</v>
      </c>
      <c r="L22" s="40" t="str">
        <f t="shared" si="2"/>
        <v>Unemployment</v>
      </c>
      <c r="M22" s="41" t="str">
        <f t="shared" si="2"/>
        <v>Inactivity</v>
      </c>
      <c r="N22" s="42" t="str">
        <f t="shared" si="2"/>
        <v>Unknown</v>
      </c>
      <c r="P22" s="69" t="str" cm="1">
        <f t="array" ref="P22">IF(SUM(IF(C23:M23&lt;(C24:M24+C25:M25+C26:M26),1,0)),"!! Check sum by age for one or more columns","")</f>
        <v/>
      </c>
      <c r="R22" s="246"/>
    </row>
    <row r="23" spans="1:18" x14ac:dyDescent="0.35">
      <c r="A23" s="2"/>
      <c r="B23" s="6" t="s">
        <v>441</v>
      </c>
      <c r="C23" s="129">
        <f>'[1]Exited participant'!$G$10</f>
        <v>253</v>
      </c>
      <c r="D23" s="130"/>
      <c r="E23" s="131"/>
      <c r="F23" s="131"/>
      <c r="G23" s="131"/>
      <c r="H23" s="131"/>
      <c r="I23" s="131"/>
      <c r="J23" s="131"/>
      <c r="K23" s="131"/>
      <c r="L23" s="131"/>
      <c r="M23" s="131"/>
      <c r="N23" s="127">
        <f>C23-SUM(D23:G23,L23:M23)</f>
        <v>253</v>
      </c>
      <c r="P23" s="69" t="str" cm="1">
        <f t="array" ref="P23">IF(C23&lt;SUM(D23:G23,L23:M23),"!! Total exits must be &gt;= sum by destination",IF(SUM(IF(H23:K23&gt;D23:G23,1,0))&gt;0,"!! Exits to subs. dests. must be &lt;= total to destination",""))</f>
        <v/>
      </c>
      <c r="R23" s="246"/>
    </row>
    <row r="24" spans="1:18" x14ac:dyDescent="0.35">
      <c r="A24" s="2"/>
      <c r="B24" s="6" t="s">
        <v>6</v>
      </c>
      <c r="C24" s="129">
        <f>'[1]Exited participant'!$G$11</f>
        <v>131</v>
      </c>
      <c r="D24" s="130"/>
      <c r="E24" s="131"/>
      <c r="F24" s="131"/>
      <c r="G24" s="131"/>
      <c r="H24" s="131"/>
      <c r="I24" s="131"/>
      <c r="J24" s="131"/>
      <c r="K24" s="131"/>
      <c r="L24" s="131"/>
      <c r="M24" s="131"/>
      <c r="N24" s="127">
        <f>C24-SUM(D24:G24,L24:M24)</f>
        <v>131</v>
      </c>
      <c r="P24" s="69" t="str" cm="1">
        <f t="array" ref="P24">IF(C24&lt;SUM(D24:G24,L24:M24),"!! Total exits must be &gt;= sum by destination",IF(SUM(IF(H24:K24&gt;D24:G24,1,0))&gt;0,"!! Exits to subs. dests. must be &lt;= total to destination",""))</f>
        <v/>
      </c>
      <c r="R24" s="246"/>
    </row>
    <row r="25" spans="1:18" x14ac:dyDescent="0.35">
      <c r="A25" s="2"/>
      <c r="B25" s="6" t="s">
        <v>7</v>
      </c>
      <c r="C25" s="129">
        <f>'[1]Exited participant'!$G$12</f>
        <v>81</v>
      </c>
      <c r="D25" s="130"/>
      <c r="E25" s="131"/>
      <c r="F25" s="131"/>
      <c r="G25" s="131"/>
      <c r="H25" s="131"/>
      <c r="I25" s="131"/>
      <c r="J25" s="131"/>
      <c r="K25" s="131"/>
      <c r="L25" s="131"/>
      <c r="M25" s="131"/>
      <c r="N25" s="127">
        <f>C25-SUM(D25:G25,L25:M25)</f>
        <v>81</v>
      </c>
      <c r="P25" s="69" t="str" cm="1">
        <f t="array" ref="P25">IF(C25&lt;SUM(D25:G25,L25:M25),"!! Total exits must be &gt;= sum by destination",IF(SUM(IF(H25:K25&gt;D25:G25,1,0))&gt;0,"!! Exits to subs. dests. must be &lt;= total to destination",""))</f>
        <v/>
      </c>
      <c r="R25" s="246"/>
    </row>
    <row r="26" spans="1:18" x14ac:dyDescent="0.35">
      <c r="A26" s="2"/>
      <c r="B26" s="6" t="s">
        <v>440</v>
      </c>
      <c r="C26" s="129">
        <f>'[1]Exited participant'!$G$13</f>
        <v>38</v>
      </c>
      <c r="D26" s="130"/>
      <c r="E26" s="131"/>
      <c r="F26" s="131"/>
      <c r="G26" s="131"/>
      <c r="H26" s="131"/>
      <c r="I26" s="131"/>
      <c r="J26" s="131"/>
      <c r="K26" s="131"/>
      <c r="L26" s="131"/>
      <c r="M26" s="131"/>
      <c r="N26" s="127">
        <f>C26-SUM(D26:G26,L26:M26)</f>
        <v>38</v>
      </c>
      <c r="P26" s="69" t="str" cm="1">
        <f t="array" ref="P26">IF(C26&lt;SUM(D26:G26,L26:M26),"!! Total exits must be &gt;= sum by destination",IF(SUM(IF(H26:K26&gt;D26:G26,1,0))&gt;0,"!! Exits to subs. dests. must be &lt;= total to destination",""))</f>
        <v/>
      </c>
      <c r="R26" s="246"/>
    </row>
    <row r="27" spans="1:18" x14ac:dyDescent="0.35">
      <c r="A27" s="21" t="s">
        <v>25</v>
      </c>
      <c r="B27" s="22"/>
      <c r="C27" s="23"/>
      <c r="D27" s="24"/>
      <c r="E27" s="25"/>
      <c r="F27" s="25"/>
      <c r="G27" s="25"/>
      <c r="H27" s="25"/>
      <c r="I27" s="25"/>
      <c r="J27" s="25"/>
      <c r="K27" s="25"/>
      <c r="L27" s="25"/>
      <c r="M27" s="25"/>
      <c r="N27" s="32"/>
      <c r="P27" s="69"/>
      <c r="R27" s="246"/>
    </row>
    <row r="28" spans="1:18" ht="15" hidden="1" customHeight="1" x14ac:dyDescent="0.35">
      <c r="A28" s="14" t="str">
        <f>A27</f>
        <v>Exits within 4 months</v>
      </c>
      <c r="B28" s="15"/>
      <c r="C28" s="16" t="e">
        <f>#REF!</f>
        <v>#REF!</v>
      </c>
      <c r="D28" s="16" t="e">
        <f>#REF!</f>
        <v>#REF!</v>
      </c>
      <c r="E28" s="16" t="e">
        <f>#REF!</f>
        <v>#REF!</v>
      </c>
      <c r="F28" s="16" t="e">
        <f>#REF!</f>
        <v>#REF!</v>
      </c>
      <c r="G28" s="16" t="e">
        <f>#REF!</f>
        <v>#REF!</v>
      </c>
      <c r="H28" s="16" t="e">
        <f>#REF!</f>
        <v>#REF!</v>
      </c>
      <c r="I28" s="16" t="e">
        <f>#REF!</f>
        <v>#REF!</v>
      </c>
      <c r="J28" s="16" t="e">
        <f>#REF!</f>
        <v>#REF!</v>
      </c>
      <c r="K28" s="16" t="e">
        <f>#REF!</f>
        <v>#REF!</v>
      </c>
      <c r="L28" s="16" t="e">
        <f>#REF!</f>
        <v>#REF!</v>
      </c>
      <c r="M28" s="16" t="e">
        <f>#REF!</f>
        <v>#REF!</v>
      </c>
      <c r="N28" s="34" t="e">
        <f>#REF!</f>
        <v>#REF!</v>
      </c>
      <c r="P28" s="69"/>
      <c r="Q28" s="18"/>
      <c r="R28" s="246"/>
    </row>
    <row r="29" spans="1:18" x14ac:dyDescent="0.35">
      <c r="A29" s="4" t="s">
        <v>106</v>
      </c>
      <c r="B29" s="5"/>
      <c r="C29" s="39" t="str">
        <f t="shared" ref="C29:N29" si="3">C$12</f>
        <v>Total</v>
      </c>
      <c r="D29" s="40" t="str">
        <f t="shared" si="3"/>
        <v>Employment</v>
      </c>
      <c r="E29" s="40" t="str">
        <f t="shared" si="3"/>
        <v>Education</v>
      </c>
      <c r="F29" s="40" t="str">
        <f t="shared" si="3"/>
        <v>Apprenticeship</v>
      </c>
      <c r="G29" s="40" t="str">
        <f t="shared" si="3"/>
        <v>Traineeship</v>
      </c>
      <c r="H29" s="40" t="str">
        <f t="shared" si="3"/>
        <v>Employment (subsidised)</v>
      </c>
      <c r="I29" s="40" t="str">
        <f t="shared" si="3"/>
        <v>Education (subsidised)</v>
      </c>
      <c r="J29" s="40" t="str">
        <f t="shared" si="3"/>
        <v>Apprenticeship (subsidised)</v>
      </c>
      <c r="K29" s="40" t="str">
        <f t="shared" si="3"/>
        <v>Traineeship (subsidised)</v>
      </c>
      <c r="L29" s="40" t="str">
        <f t="shared" si="3"/>
        <v>Unemployment</v>
      </c>
      <c r="M29" s="41" t="str">
        <f t="shared" si="3"/>
        <v>Inactivity</v>
      </c>
      <c r="N29" s="42" t="str">
        <f t="shared" si="3"/>
        <v>Unknown</v>
      </c>
      <c r="P29" s="69" t="str" cm="1">
        <f t="array" ref="P29">IF(SUM(IF(C30:M33&lt;(C35:M38+C40:M43),1,0)),"!! Check sum by sex for one or more columns/rows","")</f>
        <v/>
      </c>
      <c r="Q29" s="18"/>
      <c r="R29" s="246"/>
    </row>
    <row r="30" spans="1:18" x14ac:dyDescent="0.35">
      <c r="A30" s="2"/>
      <c r="B30" s="6" t="s">
        <v>441</v>
      </c>
      <c r="C30" s="131">
        <f>C35+C40</f>
        <v>445</v>
      </c>
      <c r="D30" s="130"/>
      <c r="E30" s="131"/>
      <c r="F30" s="131"/>
      <c r="G30" s="131"/>
      <c r="H30" s="131"/>
      <c r="I30" s="131"/>
      <c r="J30" s="131"/>
      <c r="K30" s="131"/>
      <c r="L30" s="131"/>
      <c r="M30" s="131"/>
      <c r="N30" s="127">
        <f>C30-SUM(D30:G30,L30:M30)</f>
        <v>445</v>
      </c>
      <c r="P30" s="69" t="str" cm="1">
        <f t="array" ref="P30">IF(C30&lt;SUM(D30:G30,L30:M30),"!! Total exits must be &gt;= sum by destination",IF(SUM(IF(H30:K30&gt;D30:G30,1,0))&gt;0,"!! Exits to subs. dests. must be &lt;= total to destination",""))</f>
        <v/>
      </c>
      <c r="Q30" s="18"/>
      <c r="R30" s="246"/>
    </row>
    <row r="31" spans="1:18" x14ac:dyDescent="0.35">
      <c r="A31" s="2"/>
      <c r="B31" s="6" t="s">
        <v>6</v>
      </c>
      <c r="C31" s="131">
        <f>C36+C41</f>
        <v>230</v>
      </c>
      <c r="D31" s="130"/>
      <c r="E31" s="131"/>
      <c r="F31" s="131"/>
      <c r="G31" s="131"/>
      <c r="H31" s="131"/>
      <c r="I31" s="131"/>
      <c r="J31" s="131"/>
      <c r="K31" s="131"/>
      <c r="L31" s="131"/>
      <c r="M31" s="131"/>
      <c r="N31" s="127">
        <f>C31-SUM(D31:G31,L31:M31)</f>
        <v>230</v>
      </c>
      <c r="P31" s="69" t="str" cm="1">
        <f t="array" ref="P31">IF(C31&lt;SUM(D31:G31,L31:M31),"!! Total exits must be &gt;= sum by destination",IF(SUM(IF(H31:K31&gt;D31:G31,1,0))&gt;0,"!! Exits to subs. dests. must be &lt;= total to destination",""))</f>
        <v/>
      </c>
      <c r="Q31" s="20"/>
      <c r="R31" s="246"/>
    </row>
    <row r="32" spans="1:18" x14ac:dyDescent="0.35">
      <c r="A32" s="2"/>
      <c r="B32" s="6" t="s">
        <v>7</v>
      </c>
      <c r="C32" s="131">
        <f>C37+C42</f>
        <v>155</v>
      </c>
      <c r="D32" s="130"/>
      <c r="E32" s="131"/>
      <c r="F32" s="131"/>
      <c r="G32" s="131"/>
      <c r="H32" s="131"/>
      <c r="I32" s="131"/>
      <c r="J32" s="131"/>
      <c r="K32" s="131"/>
      <c r="L32" s="131"/>
      <c r="M32" s="131"/>
      <c r="N32" s="127">
        <f>C32-SUM(D32:G32,L32:M32)</f>
        <v>155</v>
      </c>
      <c r="P32" s="69" t="str" cm="1">
        <f t="array" ref="P32">IF(C32&lt;SUM(D32:G32,L32:M32),"!! Total exits must be &gt;= sum by destination",IF(SUM(IF(H32:K32&gt;D32:G32,1,0))&gt;0,"!! Exits to subs. dests. must be &lt;= total to destination",""))</f>
        <v/>
      </c>
      <c r="Q32" s="20"/>
      <c r="R32" s="246"/>
    </row>
    <row r="33" spans="1:18" x14ac:dyDescent="0.35">
      <c r="A33" s="2"/>
      <c r="B33" s="6" t="s">
        <v>440</v>
      </c>
      <c r="C33" s="131">
        <f>C38+C43</f>
        <v>59</v>
      </c>
      <c r="D33" s="130"/>
      <c r="E33" s="131"/>
      <c r="F33" s="131"/>
      <c r="G33" s="131"/>
      <c r="H33" s="131"/>
      <c r="I33" s="131"/>
      <c r="J33" s="131"/>
      <c r="K33" s="131"/>
      <c r="L33" s="131"/>
      <c r="M33" s="131"/>
      <c r="N33" s="127">
        <f>C33-SUM(D33:G33,L33:M33)</f>
        <v>59</v>
      </c>
      <c r="P33" s="69" t="str" cm="1">
        <f t="array" ref="P33">IF(C33&lt;SUM(D33:G33,L33:M33),"!! Total exits must be &gt;= sum by destination",IF(SUM(IF(H33:K33&gt;D33:G33,1,0))&gt;0,"!! Exits to subs. dests. must be &lt;= total to destination",""))</f>
        <v/>
      </c>
      <c r="Q33" s="20"/>
      <c r="R33" s="246"/>
    </row>
    <row r="34" spans="1:18" x14ac:dyDescent="0.35">
      <c r="A34" s="4" t="s">
        <v>4</v>
      </c>
      <c r="B34" s="5"/>
      <c r="C34" s="39" t="str">
        <f t="shared" ref="C34:N34" si="4">C$12</f>
        <v>Total</v>
      </c>
      <c r="D34" s="40" t="str">
        <f t="shared" si="4"/>
        <v>Employment</v>
      </c>
      <c r="E34" s="40" t="str">
        <f t="shared" si="4"/>
        <v>Education</v>
      </c>
      <c r="F34" s="40" t="str">
        <f t="shared" si="4"/>
        <v>Apprenticeship</v>
      </c>
      <c r="G34" s="40" t="str">
        <f t="shared" si="4"/>
        <v>Traineeship</v>
      </c>
      <c r="H34" s="40" t="str">
        <f t="shared" si="4"/>
        <v>Employment (subsidised)</v>
      </c>
      <c r="I34" s="40" t="str">
        <f t="shared" si="4"/>
        <v>Education (subsidised)</v>
      </c>
      <c r="J34" s="40" t="str">
        <f t="shared" si="4"/>
        <v>Apprenticeship (subsidised)</v>
      </c>
      <c r="K34" s="40" t="str">
        <f t="shared" si="4"/>
        <v>Traineeship (subsidised)</v>
      </c>
      <c r="L34" s="40" t="str">
        <f t="shared" si="4"/>
        <v>Unemployment</v>
      </c>
      <c r="M34" s="41" t="str">
        <f t="shared" si="4"/>
        <v>Inactivity</v>
      </c>
      <c r="N34" s="42" t="str">
        <f t="shared" si="4"/>
        <v>Unknown</v>
      </c>
      <c r="P34" s="69" t="str" cm="1">
        <f t="array" ref="P34">IF(SUM(IF(C35:M35&lt;(C36:M36+C37:M37+C38:M38),1,0)),"!! Check sum by age for one or more columns","")</f>
        <v/>
      </c>
      <c r="R34" s="246"/>
    </row>
    <row r="35" spans="1:18" x14ac:dyDescent="0.35">
      <c r="A35" s="2"/>
      <c r="B35" s="6" t="s">
        <v>441</v>
      </c>
      <c r="C35" s="129">
        <v>238</v>
      </c>
      <c r="D35" s="130"/>
      <c r="E35" s="131"/>
      <c r="F35" s="131"/>
      <c r="G35" s="131"/>
      <c r="H35" s="131"/>
      <c r="I35" s="131"/>
      <c r="J35" s="131"/>
      <c r="K35" s="131"/>
      <c r="L35" s="131"/>
      <c r="M35" s="131"/>
      <c r="N35" s="127">
        <f>C35-SUM(D35:G35,L35:M35)</f>
        <v>238</v>
      </c>
      <c r="P35" s="69" t="str" cm="1">
        <f t="array" ref="P35">IF(C35&lt;SUM(D35:G35,L35:M35),"!! Total exits must be &gt;= sum by destination",IF(SUM(IF(H35:K35&gt;D35:G35,1,0))&gt;0,"!! Exits to subs. dests. must be &lt;= total to destination",""))</f>
        <v/>
      </c>
      <c r="R35" s="246"/>
    </row>
    <row r="36" spans="1:18" x14ac:dyDescent="0.35">
      <c r="A36" s="2"/>
      <c r="B36" s="6" t="s">
        <v>6</v>
      </c>
      <c r="C36" s="129">
        <v>124</v>
      </c>
      <c r="D36" s="130"/>
      <c r="E36" s="131"/>
      <c r="F36" s="131"/>
      <c r="G36" s="131"/>
      <c r="H36" s="131"/>
      <c r="I36" s="131"/>
      <c r="J36" s="131"/>
      <c r="K36" s="131"/>
      <c r="L36" s="131"/>
      <c r="M36" s="131"/>
      <c r="N36" s="127">
        <f>C36-SUM(D36:G36,L36:M36)</f>
        <v>124</v>
      </c>
      <c r="P36" s="69" t="str" cm="1">
        <f t="array" ref="P36">IF(C36&lt;SUM(D36:G36,L36:M36),"!! Total exits must be &gt;= sum by destination",IF(SUM(IF(H36:K36&gt;D36:G36,1,0))&gt;0,"!! Exits to subs. dests. must be &lt;= total to destination",""))</f>
        <v/>
      </c>
      <c r="R36" s="246"/>
    </row>
    <row r="37" spans="1:18" x14ac:dyDescent="0.35">
      <c r="A37" s="2"/>
      <c r="B37" s="6" t="s">
        <v>7</v>
      </c>
      <c r="C37" s="129">
        <v>87</v>
      </c>
      <c r="D37" s="130"/>
      <c r="E37" s="131"/>
      <c r="F37" s="131"/>
      <c r="G37" s="131"/>
      <c r="H37" s="131"/>
      <c r="I37" s="131"/>
      <c r="J37" s="131"/>
      <c r="K37" s="131"/>
      <c r="L37" s="131"/>
      <c r="M37" s="131"/>
      <c r="N37" s="127">
        <f>C37-SUM(D37:G37,L37:M37)</f>
        <v>87</v>
      </c>
      <c r="P37" s="69" t="str" cm="1">
        <f t="array" ref="P37">IF(C37&lt;SUM(D37:G37,L37:M37),"!! Total exits must be &gt;= sum by destination",IF(SUM(IF(H37:K37&gt;D37:G37,1,0))&gt;0,"!! Exits to subs. dests. must be &lt;= total to destination",""))</f>
        <v/>
      </c>
      <c r="R37" s="246"/>
    </row>
    <row r="38" spans="1:18" x14ac:dyDescent="0.35">
      <c r="A38" s="2"/>
      <c r="B38" s="6" t="s">
        <v>440</v>
      </c>
      <c r="C38" s="129">
        <v>27</v>
      </c>
      <c r="D38" s="130"/>
      <c r="E38" s="131"/>
      <c r="F38" s="131"/>
      <c r="G38" s="131"/>
      <c r="H38" s="131"/>
      <c r="I38" s="131"/>
      <c r="J38" s="131"/>
      <c r="K38" s="131"/>
      <c r="L38" s="131"/>
      <c r="M38" s="131"/>
      <c r="N38" s="127">
        <f>C38-SUM(D38:G38,L38:M38)</f>
        <v>27</v>
      </c>
      <c r="P38" s="69" t="str" cm="1">
        <f t="array" ref="P38">IF(C38&lt;SUM(D38:G38,L38:M38),"!! Total exits must be &gt;= sum by destination",IF(SUM(IF(H38:K38&gt;D38:G38,1,0))&gt;0,"!! Exits to subs. dests. must be &lt;= total to destination",""))</f>
        <v/>
      </c>
      <c r="R38" s="246"/>
    </row>
    <row r="39" spans="1:18" x14ac:dyDescent="0.35">
      <c r="A39" s="4" t="s">
        <v>5</v>
      </c>
      <c r="B39" s="5"/>
      <c r="C39" s="39" t="str">
        <f t="shared" ref="C39:N39" si="5">C$12</f>
        <v>Total</v>
      </c>
      <c r="D39" s="40" t="str">
        <f t="shared" si="5"/>
        <v>Employment</v>
      </c>
      <c r="E39" s="40" t="str">
        <f t="shared" si="5"/>
        <v>Education</v>
      </c>
      <c r="F39" s="40" t="str">
        <f t="shared" si="5"/>
        <v>Apprenticeship</v>
      </c>
      <c r="G39" s="40" t="str">
        <f t="shared" si="5"/>
        <v>Traineeship</v>
      </c>
      <c r="H39" s="40" t="str">
        <f t="shared" si="5"/>
        <v>Employment (subsidised)</v>
      </c>
      <c r="I39" s="40" t="str">
        <f t="shared" si="5"/>
        <v>Education (subsidised)</v>
      </c>
      <c r="J39" s="40" t="str">
        <f t="shared" si="5"/>
        <v>Apprenticeship (subsidised)</v>
      </c>
      <c r="K39" s="40" t="str">
        <f t="shared" si="5"/>
        <v>Traineeship (subsidised)</v>
      </c>
      <c r="L39" s="40" t="str">
        <f t="shared" si="5"/>
        <v>Unemployment</v>
      </c>
      <c r="M39" s="41" t="str">
        <f t="shared" si="5"/>
        <v>Inactivity</v>
      </c>
      <c r="N39" s="42" t="str">
        <f t="shared" si="5"/>
        <v>Unknown</v>
      </c>
      <c r="P39" s="69" t="str" cm="1">
        <f t="array" ref="P39">IF(SUM(IF(C40:M40&lt;(C41:M41+C42:M42+C43:M43),1,0)),"!! Check sum by age for one or more columns","")</f>
        <v/>
      </c>
      <c r="R39" s="246"/>
    </row>
    <row r="40" spans="1:18" x14ac:dyDescent="0.35">
      <c r="A40" s="2"/>
      <c r="B40" s="6" t="s">
        <v>441</v>
      </c>
      <c r="C40" s="129">
        <v>207</v>
      </c>
      <c r="D40" s="130"/>
      <c r="E40" s="131"/>
      <c r="F40" s="131"/>
      <c r="G40" s="131"/>
      <c r="H40" s="131"/>
      <c r="I40" s="131"/>
      <c r="J40" s="131"/>
      <c r="K40" s="131"/>
      <c r="L40" s="131"/>
      <c r="M40" s="131"/>
      <c r="N40" s="127">
        <f>C40-SUM(D40:G40,L40:M40)</f>
        <v>207</v>
      </c>
      <c r="P40" s="69" t="str" cm="1">
        <f t="array" ref="P40">IF(C40&lt;SUM(D40:G40,L40:M40),"!! Total exits must be &gt;= sum by destination",IF(SUM(IF(H40:K40&gt;D40:G40,1,0))&gt;0,"!! Exits to subs. dests. must be &lt;= total to destination",""))</f>
        <v/>
      </c>
      <c r="R40" s="246"/>
    </row>
    <row r="41" spans="1:18" x14ac:dyDescent="0.35">
      <c r="A41" s="2"/>
      <c r="B41" s="6" t="s">
        <v>6</v>
      </c>
      <c r="C41" s="129">
        <v>106</v>
      </c>
      <c r="D41" s="130"/>
      <c r="E41" s="131"/>
      <c r="F41" s="131"/>
      <c r="G41" s="131"/>
      <c r="H41" s="131"/>
      <c r="I41" s="131"/>
      <c r="J41" s="131"/>
      <c r="K41" s="131"/>
      <c r="L41" s="131"/>
      <c r="M41" s="131"/>
      <c r="N41" s="127">
        <f>C41-SUM(D41:G41,L41:M41)</f>
        <v>106</v>
      </c>
      <c r="P41" s="69" t="str" cm="1">
        <f t="array" ref="P41">IF(C41&lt;SUM(D41:G41,L41:M41),"!! Total exits must be &gt;= sum by destination",IF(SUM(IF(H41:K41&gt;D41:G41,1,0))&gt;0,"!! Exits to subs. dests. must be &lt;= total to destination",""))</f>
        <v/>
      </c>
      <c r="R41" s="246"/>
    </row>
    <row r="42" spans="1:18" x14ac:dyDescent="0.35">
      <c r="A42" s="2"/>
      <c r="B42" s="6" t="s">
        <v>7</v>
      </c>
      <c r="C42" s="129">
        <v>68</v>
      </c>
      <c r="D42" s="130"/>
      <c r="E42" s="131"/>
      <c r="F42" s="131"/>
      <c r="G42" s="131"/>
      <c r="H42" s="131"/>
      <c r="I42" s="131"/>
      <c r="J42" s="131"/>
      <c r="K42" s="131"/>
      <c r="L42" s="131"/>
      <c r="M42" s="131"/>
      <c r="N42" s="127">
        <f>C42-SUM(D42:G42,L42:M42)</f>
        <v>68</v>
      </c>
      <c r="P42" s="69" t="str" cm="1">
        <f t="array" ref="P42">IF(C42&lt;SUM(D42:G42,L42:M42),"!! Total exits must be &gt;= sum by destination",IF(SUM(IF(H42:K42&gt;D42:G42,1,0))&gt;0,"!! Exits to subs. dests. must be &lt;= total to destination",""))</f>
        <v/>
      </c>
      <c r="R42" s="246"/>
    </row>
    <row r="43" spans="1:18" ht="15" thickBot="1" x14ac:dyDescent="0.4">
      <c r="A43" s="3"/>
      <c r="B43" s="6" t="s">
        <v>440</v>
      </c>
      <c r="C43" s="132">
        <v>32</v>
      </c>
      <c r="D43" s="133"/>
      <c r="E43" s="134"/>
      <c r="F43" s="134"/>
      <c r="G43" s="134"/>
      <c r="H43" s="134"/>
      <c r="I43" s="134"/>
      <c r="J43" s="134"/>
      <c r="K43" s="134"/>
      <c r="L43" s="134"/>
      <c r="M43" s="134"/>
      <c r="N43" s="128">
        <f>C43-SUM(D43:G43,L43:M43)</f>
        <v>32</v>
      </c>
      <c r="P43" s="70" t="str">
        <f t="array" ref="P43">IF(C43&lt;SUM(D43:G43,L43:M43),"!! Total exits must be &gt;= sum by destination",IF(SUM(IF(H43:K43&gt;D43:G43,1,0))&gt;0,"!! Exits to subs. dests. must be &lt;= total to destination",""))</f>
        <v/>
      </c>
      <c r="R43" s="247"/>
    </row>
    <row r="44" spans="1:18" ht="15" thickTop="1" x14ac:dyDescent="0.35"/>
  </sheetData>
  <sheetProtection algorithmName="SHA-512" hashValue="07hCgxQ8DoYMKekDbgVYiHsTN8n2+YKAIL7kMl5lfuwqF5UbWNjqE54gU7ADYpJsMX0IvJ1yrlfUQ8mqYjceTg==" saltValue="D1FCp8WJD6jiBfhDpxU2hw==" spinCount="100000" sheet="1" formatCells="0" formatColumns="0" formatRows="0"/>
  <mergeCells count="13">
    <mergeCell ref="A7:B10"/>
    <mergeCell ref="R8:R9"/>
    <mergeCell ref="N8:N10"/>
    <mergeCell ref="D8:K8"/>
    <mergeCell ref="D9:G9"/>
    <mergeCell ref="H9:K9"/>
    <mergeCell ref="C7:C9"/>
    <mergeCell ref="D7:N7"/>
    <mergeCell ref="P8:P10"/>
    <mergeCell ref="R10:R43"/>
    <mergeCell ref="M9:M10"/>
    <mergeCell ref="L9:L10"/>
    <mergeCell ref="L8:M8"/>
  </mergeCells>
  <conditionalFormatting sqref="N13:N43">
    <cfRule type="expression" dxfId="15" priority="2">
      <formula>N13&lt;0</formula>
    </cfRule>
  </conditionalFormatting>
  <pageMargins left="0.23622047244094491" right="0.23622047244094491" top="0.35433070866141736" bottom="0.55118110236220474" header="0.31496062992125984" footer="0.11811023622047245"/>
  <pageSetup paperSize="9" orientation="landscape" r:id="rId1"/>
  <headerFooter>
    <oddFooter>&amp;LYG monitoring (pilot)&amp;R&amp;A\&amp;P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6"/>
  <sheetViews>
    <sheetView topLeftCell="A5" zoomScaleNormal="100" workbookViewId="0">
      <selection activeCell="C12" sqref="C12"/>
    </sheetView>
  </sheetViews>
  <sheetFormatPr defaultColWidth="9.1796875" defaultRowHeight="14.5" x14ac:dyDescent="0.35"/>
  <cols>
    <col min="1" max="1" width="3.1796875" customWidth="1"/>
    <col min="2" max="2" width="19.453125" customWidth="1"/>
    <col min="3" max="4" width="16.7265625" customWidth="1"/>
    <col min="5" max="5" width="13.7265625" customWidth="1"/>
    <col min="6" max="6" width="13" customWidth="1"/>
    <col min="7" max="7" width="12.26953125" customWidth="1"/>
    <col min="8" max="9" width="13.7265625" customWidth="1"/>
    <col min="10" max="10" width="6.26953125" customWidth="1"/>
    <col min="11" max="11" width="49.26953125" style="67" customWidth="1"/>
    <col min="12" max="12" width="3" customWidth="1"/>
    <col min="13" max="13" width="36.54296875" customWidth="1"/>
  </cols>
  <sheetData>
    <row r="1" spans="1:13" s="11" customFormat="1" ht="18.5" x14ac:dyDescent="0.45">
      <c r="A1" s="12" t="s">
        <v>125</v>
      </c>
      <c r="K1" s="66"/>
    </row>
    <row r="2" spans="1:13" ht="15" thickBot="1" x14ac:dyDescent="0.4">
      <c r="A2" s="1"/>
    </row>
    <row r="3" spans="1:13" s="90" customFormat="1" ht="19" thickBot="1" x14ac:dyDescent="0.5">
      <c r="A3" s="83" t="s">
        <v>181</v>
      </c>
      <c r="B3" s="84"/>
      <c r="C3" s="84"/>
      <c r="D3" s="85">
        <f>RefYear_Main</f>
        <v>2025</v>
      </c>
      <c r="E3" s="82"/>
      <c r="F3" s="82"/>
      <c r="G3" s="82"/>
      <c r="H3" s="91"/>
      <c r="I3" s="87"/>
      <c r="J3" s="88"/>
      <c r="K3" s="89"/>
    </row>
    <row r="4" spans="1:13" s="90" customFormat="1" ht="11.25" customHeight="1" thickBot="1" x14ac:dyDescent="0.5">
      <c r="A4" s="136"/>
      <c r="B4" s="136"/>
      <c r="C4" s="136"/>
      <c r="D4" s="137"/>
      <c r="E4" s="138"/>
      <c r="F4" s="138"/>
      <c r="G4" s="138"/>
      <c r="H4" s="88"/>
      <c r="I4" s="88"/>
      <c r="J4" s="88"/>
      <c r="K4" s="89"/>
    </row>
    <row r="5" spans="1:13" s="90" customFormat="1" ht="19" thickBot="1" x14ac:dyDescent="0.5">
      <c r="A5" s="139" t="s">
        <v>225</v>
      </c>
      <c r="B5" s="140"/>
      <c r="C5" s="140"/>
      <c r="D5" s="141"/>
      <c r="E5" s="140"/>
      <c r="F5" s="140"/>
      <c r="G5" s="140"/>
      <c r="H5" s="140"/>
      <c r="I5" s="142"/>
      <c r="J5" s="88"/>
      <c r="K5" s="89"/>
    </row>
    <row r="6" spans="1:13" ht="9" customHeight="1" thickBot="1" x14ac:dyDescent="0.4">
      <c r="A6" s="1"/>
    </row>
    <row r="7" spans="1:13" s="18" customFormat="1" ht="15.75" customHeight="1" thickTop="1" x14ac:dyDescent="0.35">
      <c r="A7" s="311" t="s">
        <v>259</v>
      </c>
      <c r="B7" s="312"/>
      <c r="C7" s="319" t="s">
        <v>118</v>
      </c>
      <c r="D7" s="326" t="s">
        <v>119</v>
      </c>
      <c r="E7" s="322" t="s">
        <v>601</v>
      </c>
      <c r="F7" s="323"/>
      <c r="G7" s="323"/>
      <c r="H7" s="323"/>
      <c r="I7" s="324"/>
      <c r="K7" s="65" t="s">
        <v>121</v>
      </c>
      <c r="M7" s="72" t="s">
        <v>122</v>
      </c>
    </row>
    <row r="8" spans="1:13" s="18" customFormat="1" ht="15" customHeight="1" x14ac:dyDescent="0.35">
      <c r="A8" s="313"/>
      <c r="B8" s="314"/>
      <c r="C8" s="320"/>
      <c r="D8" s="327"/>
      <c r="E8" s="317" t="s">
        <v>117</v>
      </c>
      <c r="F8" s="328" t="s">
        <v>226</v>
      </c>
      <c r="G8" s="329"/>
      <c r="H8" s="330"/>
      <c r="I8" s="315" t="s">
        <v>21</v>
      </c>
      <c r="K8" s="325" t="s">
        <v>124</v>
      </c>
      <c r="M8" s="235" t="s">
        <v>123</v>
      </c>
    </row>
    <row r="9" spans="1:13" s="20" customFormat="1" ht="33" customHeight="1" x14ac:dyDescent="0.35">
      <c r="A9" s="313"/>
      <c r="B9" s="314"/>
      <c r="C9" s="321"/>
      <c r="D9" s="64" t="s">
        <v>120</v>
      </c>
      <c r="E9" s="318"/>
      <c r="F9" s="147" t="s">
        <v>3</v>
      </c>
      <c r="G9" s="147" t="s">
        <v>115</v>
      </c>
      <c r="H9" s="147" t="s">
        <v>116</v>
      </c>
      <c r="I9" s="316"/>
      <c r="K9" s="325"/>
      <c r="M9" s="235"/>
    </row>
    <row r="10" spans="1:13" ht="15" hidden="1" customHeight="1" x14ac:dyDescent="0.35">
      <c r="A10" s="14"/>
      <c r="B10" s="15"/>
      <c r="C10" s="16" t="str">
        <f>C7</f>
        <v>Total entrants (§57)</v>
      </c>
      <c r="D10" s="17">
        <f>D8</f>
        <v>0</v>
      </c>
      <c r="E10" s="17" t="str">
        <f>E8</f>
        <v>None</v>
      </c>
      <c r="F10" s="17"/>
      <c r="G10" s="17">
        <f>G8</f>
        <v>0</v>
      </c>
      <c r="H10" s="17">
        <f>H8</f>
        <v>0</v>
      </c>
      <c r="I10" s="62" t="s">
        <v>99</v>
      </c>
      <c r="K10" s="68"/>
      <c r="M10" s="71"/>
    </row>
    <row r="11" spans="1:13" x14ac:dyDescent="0.35">
      <c r="A11" s="4" t="s">
        <v>2</v>
      </c>
      <c r="B11" s="5"/>
      <c r="C11" s="8"/>
      <c r="D11" s="13"/>
      <c r="E11" s="13"/>
      <c r="F11" s="13"/>
      <c r="G11" s="13"/>
      <c r="H11" s="13"/>
      <c r="I11" s="10"/>
      <c r="K11" s="69" t="str" cm="1">
        <f t="array" ref="K11">IF(SUM(IF(C12:I15&lt;(C17:I20+C22:I25),1,0)),"!! Check sum by sex for one or more columns/rows","")</f>
        <v/>
      </c>
      <c r="M11" s="246"/>
    </row>
    <row r="12" spans="1:13" x14ac:dyDescent="0.35">
      <c r="A12" s="2"/>
      <c r="B12" s="6" t="s">
        <v>441</v>
      </c>
      <c r="C12" s="120">
        <f>SUM(C17+C22)</f>
        <v>1486</v>
      </c>
      <c r="D12" s="121"/>
      <c r="E12" s="121"/>
      <c r="F12" s="121"/>
      <c r="G12" s="121"/>
      <c r="H12" s="121"/>
      <c r="I12" s="127">
        <f>C12-SUM(E12:F12)</f>
        <v>1486</v>
      </c>
      <c r="K12" s="69" t="str">
        <f>IF(D12&gt;C12,"!! Registered unemployed must be &lt;= total entrants",IF(I12&lt;0,"!! Sum by previous YG experience must be &lt;= total entrants",IF(F12&lt;(G12+H12),"!! Check breakdown with previous experience","")))</f>
        <v/>
      </c>
      <c r="M12" s="246"/>
    </row>
    <row r="13" spans="1:13" x14ac:dyDescent="0.35">
      <c r="A13" s="2"/>
      <c r="B13" s="6" t="s">
        <v>6</v>
      </c>
      <c r="C13" s="120">
        <f>SUM(C18+C23)</f>
        <v>776</v>
      </c>
      <c r="D13" s="121"/>
      <c r="E13" s="121"/>
      <c r="F13" s="121"/>
      <c r="G13" s="121"/>
      <c r="H13" s="121"/>
      <c r="I13" s="127">
        <f t="shared" ref="I13:I14" si="0">C13-SUM(E13:F13)</f>
        <v>776</v>
      </c>
      <c r="K13" s="69" t="str">
        <f>IF(D13&gt;C13,"!! Registered unemployed must be &lt;= total entrants",IF(I13&lt;0,"!! Sum by previous YG experience must be &lt;= total entrants",IF(F13&lt;(G13+H13),"!! Check breakdown with previous experience","")))</f>
        <v/>
      </c>
      <c r="M13" s="246"/>
    </row>
    <row r="14" spans="1:13" x14ac:dyDescent="0.35">
      <c r="A14" s="2"/>
      <c r="B14" s="6" t="s">
        <v>7</v>
      </c>
      <c r="C14" s="120">
        <f>SUM(C19+C24)</f>
        <v>483</v>
      </c>
      <c r="D14" s="121"/>
      <c r="E14" s="121"/>
      <c r="F14" s="121"/>
      <c r="G14" s="121"/>
      <c r="H14" s="121"/>
      <c r="I14" s="127">
        <f t="shared" si="0"/>
        <v>483</v>
      </c>
      <c r="K14" s="69" t="str">
        <f>IF(D14&gt;C14,"!! Registered unemployed must be &lt;= total entrants",IF(I14&lt;0,"!! Sum by previous YG experience must be &lt;= total entrants",IF(F14&lt;(G14+H14),"!! Check breakdown with previous experience","")))</f>
        <v/>
      </c>
      <c r="M14" s="246"/>
    </row>
    <row r="15" spans="1:13" x14ac:dyDescent="0.35">
      <c r="A15" s="2"/>
      <c r="B15" s="6" t="s">
        <v>440</v>
      </c>
      <c r="C15" s="120">
        <f>SUM(C20+C25)</f>
        <v>175</v>
      </c>
      <c r="D15" s="121"/>
      <c r="E15" s="121"/>
      <c r="F15" s="121"/>
      <c r="G15" s="121"/>
      <c r="H15" s="121"/>
      <c r="I15" s="127">
        <f>C15-SUM(E15:F15)</f>
        <v>175</v>
      </c>
      <c r="K15" s="69" t="str">
        <f>IF(D15&gt;C15,"!! Registered unemployed must be &lt;= total entrants",IF(I15&lt;0,"!! Sum by previous YG experience must be &lt;= total entrants",IF(F15&lt;(G15+H15),"!! Check breakdown with previous experience","")))</f>
        <v/>
      </c>
      <c r="M15" s="246"/>
    </row>
    <row r="16" spans="1:13" x14ac:dyDescent="0.35">
      <c r="A16" s="4" t="s">
        <v>4</v>
      </c>
      <c r="B16" s="5"/>
      <c r="C16" s="8"/>
      <c r="D16" s="13"/>
      <c r="E16" s="13"/>
      <c r="F16" s="13"/>
      <c r="G16" s="13"/>
      <c r="H16" s="13"/>
      <c r="I16" s="10"/>
      <c r="K16" s="69" t="str" cm="1">
        <f t="array" ref="K16">IF(SUM(IF(C17:I17&lt;(C18:I18+C19:I19+C20:I20),1,0)),"!! Check sum by age for one or more columns","")</f>
        <v/>
      </c>
      <c r="M16" s="246"/>
    </row>
    <row r="17" spans="1:13" x14ac:dyDescent="0.35">
      <c r="A17" s="2"/>
      <c r="B17" s="6" t="s">
        <v>441</v>
      </c>
      <c r="C17" s="120">
        <f>GETPIVOTDATA("Number of enrolled youth",'[1]2025'!$G$2,"Gender","male")</f>
        <v>811</v>
      </c>
      <c r="D17" s="121"/>
      <c r="E17" s="121"/>
      <c r="F17" s="121"/>
      <c r="G17" s="121"/>
      <c r="H17" s="121"/>
      <c r="I17" s="127">
        <f t="shared" ref="I17:I20" si="1">C17-SUM(E17:F17)</f>
        <v>811</v>
      </c>
      <c r="K17" s="69" t="str">
        <f>IF(D17&gt;C17,"!! Registered unemployed must be &lt;= total entrants",IF(I17&lt;0,"!! Sum by previous YG experience must be &lt;= total entrants",IF(F17&lt;(G17+H17),"!! Check breakdown with previous experience","")))</f>
        <v/>
      </c>
      <c r="M17" s="246"/>
    </row>
    <row r="18" spans="1:13" x14ac:dyDescent="0.35">
      <c r="A18" s="2"/>
      <c r="B18" s="6" t="s">
        <v>6</v>
      </c>
      <c r="C18" s="120">
        <f>GETPIVOTDATA("Number of enrolled youth",'[1]2025'!$G$2,"Gender","male","Age Group","15-19")</f>
        <v>417</v>
      </c>
      <c r="D18" s="121"/>
      <c r="E18" s="121"/>
      <c r="F18" s="121"/>
      <c r="G18" s="121"/>
      <c r="H18" s="121"/>
      <c r="I18" s="127">
        <f t="shared" si="1"/>
        <v>417</v>
      </c>
      <c r="K18" s="69" t="str">
        <f>IF(D18&gt;C18,"!! Registered unemployed must be &lt;= total entrants",IF(I18&lt;0,"!! Sum by previous YG experience must be &lt;= total entrants",IF(F18&lt;(G18+H18),"!! Check breakdown with previous experience","")))</f>
        <v/>
      </c>
      <c r="M18" s="246"/>
    </row>
    <row r="19" spans="1:13" x14ac:dyDescent="0.35">
      <c r="A19" s="2"/>
      <c r="B19" s="6" t="s">
        <v>7</v>
      </c>
      <c r="C19" s="120">
        <f>GETPIVOTDATA("Number of enrolled youth",'[1]2025'!$G$2,"Gender","male","Age Group","20-24")</f>
        <v>270</v>
      </c>
      <c r="D19" s="121"/>
      <c r="E19" s="121"/>
      <c r="F19" s="121"/>
      <c r="G19" s="121"/>
      <c r="H19" s="121"/>
      <c r="I19" s="127">
        <f t="shared" si="1"/>
        <v>270</v>
      </c>
      <c r="K19" s="69" t="str">
        <f>IF(D19&gt;C19,"!! Registered unemployed must be &lt;= total entrants",IF(I19&lt;0,"!! Sum by previous YG experience must be &lt;= total entrants",IF(F19&lt;(G19+H19),"!! Check breakdown with previous experience","")))</f>
        <v/>
      </c>
      <c r="M19" s="246"/>
    </row>
    <row r="20" spans="1:13" x14ac:dyDescent="0.35">
      <c r="A20" s="2"/>
      <c r="B20" s="6" t="s">
        <v>440</v>
      </c>
      <c r="C20" s="120">
        <f>GETPIVOTDATA("Number of enrolled youth",'[1]2025'!$G$2,"Gender","male","Age Group","25-29")</f>
        <v>101</v>
      </c>
      <c r="D20" s="121"/>
      <c r="E20" s="121"/>
      <c r="F20" s="121"/>
      <c r="G20" s="121"/>
      <c r="H20" s="121"/>
      <c r="I20" s="127">
        <f t="shared" si="1"/>
        <v>101</v>
      </c>
      <c r="K20" s="69" t="str">
        <f>IF(D20&gt;C20,"!! Registered unemployed must be &lt;= total entrants",IF(I20&lt;0,"!! Sum by previous YG experience must be &lt;= total entrants",IF(F20&lt;(G20+H20),"!! Check breakdown with previous experience","")))</f>
        <v/>
      </c>
      <c r="M20" s="246"/>
    </row>
    <row r="21" spans="1:13" x14ac:dyDescent="0.35">
      <c r="A21" s="4" t="s">
        <v>5</v>
      </c>
      <c r="B21" s="5"/>
      <c r="C21" s="8"/>
      <c r="D21" s="13"/>
      <c r="E21" s="13"/>
      <c r="F21" s="13"/>
      <c r="G21" s="13"/>
      <c r="H21" s="13"/>
      <c r="I21" s="10"/>
      <c r="K21" s="69" t="str" cm="1">
        <f t="array" ref="K21">IF(SUM(IF(C22:I22&lt;(C23:I23+C24:I24+C25:I25),1,0)),"!! Check sum by age for one or more columns","")</f>
        <v/>
      </c>
      <c r="M21" s="246"/>
    </row>
    <row r="22" spans="1:13" x14ac:dyDescent="0.35">
      <c r="A22" s="2"/>
      <c r="B22" s="6" t="s">
        <v>441</v>
      </c>
      <c r="C22" s="120">
        <f>GETPIVOTDATA("Number of enrolled youth",'[1]2025'!$G$2,"Gender","female")</f>
        <v>675</v>
      </c>
      <c r="D22" s="121"/>
      <c r="E22" s="121"/>
      <c r="F22" s="121"/>
      <c r="G22" s="121"/>
      <c r="H22" s="121"/>
      <c r="I22" s="127">
        <f t="shared" ref="I22:I25" si="2">C22-SUM(E22:F22)</f>
        <v>675</v>
      </c>
      <c r="K22" s="69" t="str">
        <f>IF(D22&gt;C22,"!! Registered unemployed must be &lt;= total entrants",IF(I22&lt;0,"!! Sum by previous YG experience must be &lt;= total entrants",IF(F22&lt;(G22+H22),"!! Check breakdown with previous experience","")))</f>
        <v/>
      </c>
      <c r="M22" s="246"/>
    </row>
    <row r="23" spans="1:13" x14ac:dyDescent="0.35">
      <c r="A23" s="2"/>
      <c r="B23" s="6" t="s">
        <v>6</v>
      </c>
      <c r="C23" s="120">
        <f>GETPIVOTDATA("Number of enrolled youth",'[1]2025'!$G$2,"Gender","female","Age Group","15-19")</f>
        <v>359</v>
      </c>
      <c r="D23" s="121"/>
      <c r="E23" s="121"/>
      <c r="F23" s="121"/>
      <c r="G23" s="121"/>
      <c r="H23" s="121"/>
      <c r="I23" s="127">
        <f t="shared" si="2"/>
        <v>359</v>
      </c>
      <c r="K23" s="69" t="str">
        <f>IF(D23&gt;C23,"!! Registered unemployed must be &lt;= total entrants",IF(I23&lt;0,"!! Sum by previous YG experience must be &lt;= total entrants",IF(F23&lt;(G23+H23),"!! Check breakdown with previous experience","")))</f>
        <v/>
      </c>
      <c r="M23" s="246"/>
    </row>
    <row r="24" spans="1:13" x14ac:dyDescent="0.35">
      <c r="A24" s="2"/>
      <c r="B24" s="6" t="s">
        <v>7</v>
      </c>
      <c r="C24" s="120">
        <f>GETPIVOTDATA("Number of enrolled youth",'[1]2025'!$G$2,"Gender","female","Age Group","20-24")</f>
        <v>213</v>
      </c>
      <c r="D24" s="121"/>
      <c r="E24" s="121"/>
      <c r="F24" s="121"/>
      <c r="G24" s="121"/>
      <c r="H24" s="121"/>
      <c r="I24" s="127">
        <f t="shared" si="2"/>
        <v>213</v>
      </c>
      <c r="K24" s="69" t="str">
        <f>IF(D24&gt;C24,"!! Registered unemployed must be &lt;= total entrants",IF(I24&lt;0,"!! Sum by previous YG experience must be &lt;= total entrants",IF(F24&lt;(G24+H24),"!! Check breakdown with previous experience","")))</f>
        <v/>
      </c>
      <c r="M24" s="246"/>
    </row>
    <row r="25" spans="1:13" ht="15" thickBot="1" x14ac:dyDescent="0.4">
      <c r="A25" s="3"/>
      <c r="B25" s="7" t="s">
        <v>440</v>
      </c>
      <c r="C25" s="122">
        <f>GETPIVOTDATA("Number of enrolled youth",'[1]2025'!$G$2,"Gender","female","Age Group","25-29")</f>
        <v>74</v>
      </c>
      <c r="D25" s="123"/>
      <c r="E25" s="123"/>
      <c r="F25" s="123"/>
      <c r="G25" s="123"/>
      <c r="H25" s="123"/>
      <c r="I25" s="128">
        <f t="shared" si="2"/>
        <v>74</v>
      </c>
      <c r="K25" s="70" t="str">
        <f>IF(D25&gt;C25,"!! Registered unemployed must be &lt;= total entrants",IF(I25&lt;0,"!! Sum by previous YG experience must be &lt;= total entrants",IF(F25&lt;(G25+H25),"!! Check breakdown with previous experience","")))</f>
        <v/>
      </c>
      <c r="M25" s="247"/>
    </row>
    <row r="26" spans="1:13" ht="15" thickTop="1" x14ac:dyDescent="0.35"/>
  </sheetData>
  <sheetProtection algorithmName="SHA-512" hashValue="+6aKUtjqx34Qpt2ASILV3zNGtaU9/nHw2IzjI7qhpjOnLwb/nahSC8pdSQ/qXVgd2JkIchxzXvF+7vbcECojwA==" saltValue="/DyUo3Z6gRnSpJqrfZLSoA==" spinCount="100000" sheet="1" formatCells="0" formatColumns="0" formatRows="0"/>
  <mergeCells count="10">
    <mergeCell ref="K8:K9"/>
    <mergeCell ref="M8:M9"/>
    <mergeCell ref="M11:M25"/>
    <mergeCell ref="D7:D8"/>
    <mergeCell ref="F8:H8"/>
    <mergeCell ref="A7:B9"/>
    <mergeCell ref="I8:I9"/>
    <mergeCell ref="E8:E9"/>
    <mergeCell ref="C7:C9"/>
    <mergeCell ref="E7:I7"/>
  </mergeCells>
  <conditionalFormatting sqref="I12:I25">
    <cfRule type="expression" dxfId="18" priority="4">
      <formula>I12&lt;0</formula>
    </cfRule>
  </conditionalFormatting>
  <pageMargins left="0.23622047244094491" right="0.23622047244094491" top="0.55118110236220474" bottom="0.55118110236220474" header="0.31496062992125984" footer="0.31496062992125984"/>
  <pageSetup paperSize="9" orientation="landscape" r:id="rId1"/>
  <headerFooter>
    <oddFooter>&amp;LYG monitoring (pilot)&amp;R&amp;A\&amp;P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K38"/>
  <sheetViews>
    <sheetView topLeftCell="A2" zoomScale="51" zoomScaleNormal="100" workbookViewId="0">
      <selection activeCell="K24" sqref="K24"/>
    </sheetView>
  </sheetViews>
  <sheetFormatPr defaultColWidth="9.1796875" defaultRowHeight="14.5" x14ac:dyDescent="0.35"/>
  <cols>
    <col min="1" max="1" width="3.1796875" customWidth="1"/>
    <col min="2" max="2" width="19.453125" customWidth="1"/>
    <col min="3" max="7" width="18.26953125" customWidth="1"/>
    <col min="8" max="8" width="3.7265625" customWidth="1"/>
    <col min="9" max="9" width="49.26953125" style="67" customWidth="1"/>
    <col min="10" max="10" width="3" customWidth="1"/>
    <col min="11" max="11" width="36.54296875" customWidth="1"/>
  </cols>
  <sheetData>
    <row r="1" spans="1:11" s="11" customFormat="1" ht="18.5" x14ac:dyDescent="0.45">
      <c r="A1" s="12" t="s">
        <v>156</v>
      </c>
      <c r="I1" s="66"/>
    </row>
    <row r="2" spans="1:11" ht="15" thickBot="1" x14ac:dyDescent="0.4">
      <c r="A2" s="1"/>
    </row>
    <row r="3" spans="1:11" s="90" customFormat="1" ht="19" thickBot="1" x14ac:dyDescent="0.5">
      <c r="A3" s="83" t="s">
        <v>181</v>
      </c>
      <c r="B3" s="84"/>
      <c r="C3" s="84"/>
      <c r="D3" s="85">
        <f>RefYear_Main</f>
        <v>2025</v>
      </c>
      <c r="E3" s="82"/>
      <c r="F3" s="86"/>
      <c r="G3" s="87"/>
      <c r="H3" s="88"/>
      <c r="I3" s="88"/>
      <c r="J3" s="89"/>
    </row>
    <row r="4" spans="1:11" s="90" customFormat="1" ht="19" thickBot="1" x14ac:dyDescent="0.5">
      <c r="A4" s="136"/>
      <c r="B4" s="136"/>
      <c r="C4" s="136"/>
      <c r="D4" s="137"/>
      <c r="E4" s="138"/>
      <c r="F4" s="138"/>
      <c r="G4" s="88"/>
      <c r="H4" s="88"/>
      <c r="I4" s="88"/>
      <c r="J4" s="89"/>
    </row>
    <row r="5" spans="1:11" s="90" customFormat="1" ht="19" thickBot="1" x14ac:dyDescent="0.5">
      <c r="A5" s="139" t="s">
        <v>225</v>
      </c>
      <c r="B5" s="140"/>
      <c r="C5" s="140"/>
      <c r="D5" s="141"/>
      <c r="E5" s="140"/>
      <c r="F5" s="140"/>
      <c r="G5" s="142"/>
      <c r="H5" s="88"/>
      <c r="I5" s="89"/>
    </row>
    <row r="6" spans="1:11" ht="15" thickBot="1" x14ac:dyDescent="0.4">
      <c r="A6" s="1"/>
    </row>
    <row r="7" spans="1:11" s="1" customFormat="1" ht="15" thickTop="1" x14ac:dyDescent="0.35">
      <c r="A7" s="242" t="s">
        <v>126</v>
      </c>
      <c r="B7" s="243"/>
      <c r="C7" s="236" t="s">
        <v>127</v>
      </c>
      <c r="D7" s="237"/>
      <c r="E7" s="237"/>
      <c r="F7" s="237"/>
      <c r="G7" s="238"/>
      <c r="I7" s="65" t="s">
        <v>121</v>
      </c>
      <c r="J7" s="18"/>
      <c r="K7" s="72" t="s">
        <v>122</v>
      </c>
    </row>
    <row r="8" spans="1:11" s="1" customFormat="1" ht="25.5" customHeight="1" x14ac:dyDescent="0.35">
      <c r="A8" s="244"/>
      <c r="B8" s="245"/>
      <c r="C8" s="239"/>
      <c r="D8" s="240"/>
      <c r="E8" s="240"/>
      <c r="F8" s="240"/>
      <c r="G8" s="241"/>
      <c r="I8" s="73" t="s">
        <v>124</v>
      </c>
      <c r="J8" s="18"/>
      <c r="K8" s="235" t="s">
        <v>123</v>
      </c>
    </row>
    <row r="9" spans="1:11" ht="15" customHeight="1" x14ac:dyDescent="0.35">
      <c r="A9" s="4" t="s">
        <v>2</v>
      </c>
      <c r="B9" s="5"/>
      <c r="C9" s="8" t="s">
        <v>3</v>
      </c>
      <c r="D9" s="9" t="s">
        <v>12</v>
      </c>
      <c r="E9" s="13" t="s">
        <v>128</v>
      </c>
      <c r="F9" s="13" t="s">
        <v>129</v>
      </c>
      <c r="G9" s="10" t="s">
        <v>130</v>
      </c>
      <c r="I9" s="69" t="str" cm="1">
        <f t="array" ref="I9">IF(SUM(IF(C10:G13&lt;(C15:G18+C20:G23),1,0)),"!! Check sum by sex for one or more columns/rows","")</f>
        <v/>
      </c>
      <c r="K9" s="235"/>
    </row>
    <row r="10" spans="1:11" x14ac:dyDescent="0.35">
      <c r="A10" s="2"/>
      <c r="B10" s="6" t="s">
        <v>441</v>
      </c>
      <c r="C10" s="124">
        <f>C15+C20</f>
        <v>1051</v>
      </c>
      <c r="D10" s="229">
        <f t="shared" ref="D10:G10" si="0">D15+D20</f>
        <v>610.86922554942828</v>
      </c>
      <c r="E10" s="125">
        <f t="shared" si="0"/>
        <v>138.26439145131906</v>
      </c>
      <c r="F10" s="125">
        <f t="shared" si="0"/>
        <v>247.95818909032357</v>
      </c>
      <c r="G10" s="126">
        <f t="shared" si="0"/>
        <v>93.908193908929121</v>
      </c>
      <c r="I10" s="69" t="str">
        <f>IF(C10&lt;SUM(D10:G10),"!! Total stocks must be &lt;= sum by duration","")</f>
        <v>!! Total stocks must be &lt;= sum by duration</v>
      </c>
      <c r="K10" s="246" t="s">
        <v>696</v>
      </c>
    </row>
    <row r="11" spans="1:11" x14ac:dyDescent="0.35">
      <c r="A11" s="2"/>
      <c r="B11" s="6" t="s">
        <v>6</v>
      </c>
      <c r="C11" s="124">
        <f>C16+C21</f>
        <v>543</v>
      </c>
      <c r="D11" s="229">
        <f t="shared" ref="D11:G11" si="1">D16+D21</f>
        <v>298.49797570850205</v>
      </c>
      <c r="E11" s="125">
        <f t="shared" si="1"/>
        <v>63.931174089068833</v>
      </c>
      <c r="F11" s="125">
        <f t="shared" si="1"/>
        <v>129.21862348178138</v>
      </c>
      <c r="G11" s="126">
        <f t="shared" si="1"/>
        <v>51.352226720647778</v>
      </c>
      <c r="I11" s="69" t="str">
        <f>IF(C11&lt;SUM(D11:G11),"!! Total stocks must be &lt;= sum by duration","")</f>
        <v/>
      </c>
      <c r="K11" s="246"/>
    </row>
    <row r="12" spans="1:11" x14ac:dyDescent="0.35">
      <c r="A12" s="2"/>
      <c r="B12" s="6" t="s">
        <v>7</v>
      </c>
      <c r="C12" s="124">
        <f>C17+C22</f>
        <v>438</v>
      </c>
      <c r="D12" s="229">
        <f t="shared" ref="D12:G12" si="2">D17+D22</f>
        <v>238.8012807271225</v>
      </c>
      <c r="E12" s="125">
        <f t="shared" si="2"/>
        <v>64.991806100667901</v>
      </c>
      <c r="F12" s="125">
        <f t="shared" si="2"/>
        <v>95.913241065895477</v>
      </c>
      <c r="G12" s="126">
        <f t="shared" si="2"/>
        <v>38.293672106314119</v>
      </c>
      <c r="I12" s="69" t="str">
        <f>IF(C12&lt;SUM(D12:G12),"!! Total stocks must be &lt;= sum by duration","")</f>
        <v/>
      </c>
      <c r="K12" s="246"/>
    </row>
    <row r="13" spans="1:11" x14ac:dyDescent="0.35">
      <c r="A13" s="2"/>
      <c r="B13" s="6" t="s">
        <v>440</v>
      </c>
      <c r="C13" s="124">
        <f>C18+C23</f>
        <v>110</v>
      </c>
      <c r="D13" s="229">
        <f t="shared" ref="D13:G13" si="3">D18+D23</f>
        <v>73.569969113803751</v>
      </c>
      <c r="E13" s="125">
        <f t="shared" si="3"/>
        <v>9.3414112615823246</v>
      </c>
      <c r="F13" s="125">
        <f t="shared" si="3"/>
        <v>22.826324542646709</v>
      </c>
      <c r="G13" s="126">
        <f t="shared" si="3"/>
        <v>4.2622950819672125</v>
      </c>
      <c r="I13" s="69" t="str">
        <f>IF(C13&lt;SUM(D13:G13),"!! Total stocks must be &lt;= sum by duration","")</f>
        <v/>
      </c>
      <c r="K13" s="246"/>
    </row>
    <row r="14" spans="1:11" x14ac:dyDescent="0.35">
      <c r="A14" s="4" t="s">
        <v>4</v>
      </c>
      <c r="B14" s="5"/>
      <c r="C14" s="8" t="str">
        <f t="shared" ref="C14:F14" si="4">C9</f>
        <v>Total</v>
      </c>
      <c r="D14" s="9" t="str">
        <f t="shared" si="4"/>
        <v>&lt;4 months</v>
      </c>
      <c r="E14" s="13" t="str">
        <f t="shared" si="4"/>
        <v>4-5 months</v>
      </c>
      <c r="F14" s="13" t="str">
        <f t="shared" si="4"/>
        <v>6-11 months</v>
      </c>
      <c r="G14" s="10" t="str">
        <f>G9</f>
        <v>12+ months</v>
      </c>
      <c r="I14" s="69" t="str" cm="1">
        <f t="array" ref="I14">IF(SUM(IF(C15:G15&lt;(C16:G16+C17:G17+C18:G18),1,0)),"!! Check sum by age for one or more columns","")</f>
        <v>!! Check sum by age for one or more columns</v>
      </c>
      <c r="K14" s="246"/>
    </row>
    <row r="15" spans="1:11" x14ac:dyDescent="0.35">
      <c r="A15" s="2"/>
      <c r="B15" s="6" t="s">
        <v>441</v>
      </c>
      <c r="C15" s="232">
        <v>578</v>
      </c>
      <c r="D15" s="230">
        <f>SUM(D16:D18)</f>
        <v>356.66005346841143</v>
      </c>
      <c r="E15" s="230">
        <f>SUM(E16:E18)</f>
        <v>79.570282819755164</v>
      </c>
      <c r="F15" s="230">
        <f>SUM(F16:F18)</f>
        <v>157.02209089629943</v>
      </c>
      <c r="G15" s="230">
        <f>SUM(G16:G18)</f>
        <v>58.747572815533985</v>
      </c>
      <c r="I15" s="69" t="str">
        <f>IF(C15&lt;SUM(D15:G15),"!! Total stocks must be &lt;= sum by duration","")</f>
        <v>!! Total stocks must be &lt;= sum by duration</v>
      </c>
      <c r="K15" s="246"/>
    </row>
    <row r="16" spans="1:11" x14ac:dyDescent="0.35">
      <c r="A16" s="2"/>
      <c r="B16" s="6" t="s">
        <v>6</v>
      </c>
      <c r="C16" s="232">
        <v>304</v>
      </c>
      <c r="D16" s="229">
        <f>$C16*'[1]Exited participant'!K22</f>
        <v>164</v>
      </c>
      <c r="E16" s="229">
        <f>$C16*'[1]Exited participant'!L22</f>
        <v>32</v>
      </c>
      <c r="F16" s="229">
        <f>$C16*'[1]Exited participant'!M22</f>
        <v>76</v>
      </c>
      <c r="G16" s="229">
        <f>$C16*'[1]Exited participant'!Q22</f>
        <v>32</v>
      </c>
      <c r="I16" s="69" t="str">
        <f>IF(C16&lt;SUM(D16:G16),"!! Total stocks must be &lt;= sum by duration","")</f>
        <v/>
      </c>
      <c r="K16" s="246"/>
    </row>
    <row r="17" spans="1:11" x14ac:dyDescent="0.35">
      <c r="A17" s="2"/>
      <c r="B17" s="6" t="s">
        <v>7</v>
      </c>
      <c r="C17" s="232">
        <v>290</v>
      </c>
      <c r="D17" s="229">
        <f>$C17*'[1]Exited participant'!K23</f>
        <v>150.63106796116506</v>
      </c>
      <c r="E17" s="229">
        <f>$C17*'[1]Exited participant'!L23</f>
        <v>45.048543689320383</v>
      </c>
      <c r="F17" s="229">
        <f>$C17*'[1]Exited participant'!M23</f>
        <v>67.572815533980588</v>
      </c>
      <c r="G17" s="229">
        <f>$C17*'[1]Exited participant'!Q23</f>
        <v>26.747572815533982</v>
      </c>
      <c r="I17" s="69" t="str">
        <f>IF(C17&lt;SUM(D17:G17),"!! Total stocks must be &lt;= sum by duration","")</f>
        <v/>
      </c>
      <c r="K17" s="246"/>
    </row>
    <row r="18" spans="1:11" x14ac:dyDescent="0.35">
      <c r="A18" s="2"/>
      <c r="B18" s="6" t="s">
        <v>440</v>
      </c>
      <c r="C18" s="232">
        <v>58</v>
      </c>
      <c r="D18" s="229">
        <f>$C18*'[1]Exited participant'!K24</f>
        <v>42.028985507246375</v>
      </c>
      <c r="E18" s="229">
        <f>$C18*'[1]Exited participant'!L24</f>
        <v>2.5217391304347827</v>
      </c>
      <c r="F18" s="229">
        <f>$C18*'[1]Exited participant'!M24</f>
        <v>13.44927536231884</v>
      </c>
      <c r="G18" s="229">
        <f>$C18*'[1]Exited participant'!Q24</f>
        <v>0</v>
      </c>
      <c r="I18" s="69" t="str">
        <f>IF(C18&lt;SUM(D18:G18),"!! Total stocks must be &lt;= sum by duration","")</f>
        <v/>
      </c>
      <c r="K18" s="246"/>
    </row>
    <row r="19" spans="1:11" x14ac:dyDescent="0.35">
      <c r="A19" s="4" t="s">
        <v>5</v>
      </c>
      <c r="B19" s="5"/>
      <c r="C19" s="8" t="str">
        <f>C9</f>
        <v>Total</v>
      </c>
      <c r="D19" s="9" t="str">
        <f t="shared" ref="D19:G19" si="5">D14</f>
        <v>&lt;4 months</v>
      </c>
      <c r="E19" s="13" t="str">
        <f t="shared" si="5"/>
        <v>4-5 months</v>
      </c>
      <c r="F19" s="13" t="str">
        <f t="shared" si="5"/>
        <v>6-11 months</v>
      </c>
      <c r="G19" s="10" t="str">
        <f t="shared" si="5"/>
        <v>12+ months</v>
      </c>
      <c r="I19" s="69" t="str" cm="1">
        <f t="array" ref="I19">IF(SUM(IF(C20:G20&lt;(C21:G21+C22:G22+C23:G23),1,0)),"!! Check sum by age for one or more columns","")</f>
        <v/>
      </c>
      <c r="K19" s="246"/>
    </row>
    <row r="20" spans="1:11" x14ac:dyDescent="0.35">
      <c r="A20" s="2"/>
      <c r="B20" s="6" t="s">
        <v>441</v>
      </c>
      <c r="C20" s="232">
        <v>473</v>
      </c>
      <c r="D20" s="230">
        <f>SUM(D21:D23)</f>
        <v>254.20917208101685</v>
      </c>
      <c r="E20" s="230">
        <f>SUM(E21:E23)</f>
        <v>58.694108631563893</v>
      </c>
      <c r="F20" s="230">
        <f>SUM(F21:F23)</f>
        <v>90.93609819402414</v>
      </c>
      <c r="G20" s="230">
        <f>SUM(G21:G23)</f>
        <v>35.160621093395129</v>
      </c>
      <c r="I20" s="69" t="str">
        <f>IF(C20&lt;SUM(D20:G20),"!! Total stocks must be &lt;= sum by duration","")</f>
        <v/>
      </c>
      <c r="K20" s="246"/>
    </row>
    <row r="21" spans="1:11" x14ac:dyDescent="0.35">
      <c r="A21" s="2"/>
      <c r="B21" s="6" t="s">
        <v>6</v>
      </c>
      <c r="C21" s="232">
        <v>239</v>
      </c>
      <c r="D21" s="229">
        <f>$C21*'[1]Exited participant'!K27</f>
        <v>134.49797570850203</v>
      </c>
      <c r="E21" s="229">
        <f>$C21*'[1]Exited participant'!L27</f>
        <v>31.931174089068829</v>
      </c>
      <c r="F21" s="229">
        <f>$C21*'[1]Exited participant'!M27</f>
        <v>53.218623481781371</v>
      </c>
      <c r="G21" s="229">
        <f>$C21*'[1]Exited participant'!Q27</f>
        <v>19.352226720647774</v>
      </c>
      <c r="I21" s="69" t="str">
        <f>IF(C21&lt;SUM(D21:G21),"!! Total stocks must be &lt;= sum by duration","")</f>
        <v/>
      </c>
      <c r="K21" s="246"/>
    </row>
    <row r="22" spans="1:11" x14ac:dyDescent="0.35">
      <c r="A22" s="2"/>
      <c r="B22" s="6" t="s">
        <v>7</v>
      </c>
      <c r="C22" s="232">
        <v>148</v>
      </c>
      <c r="D22" s="229">
        <f>$C22*'[1]Exited participant'!K28</f>
        <v>88.170212765957444</v>
      </c>
      <c r="E22" s="229">
        <f>$C22*'[1]Exited participant'!L28</f>
        <v>19.943262411347519</v>
      </c>
      <c r="F22" s="229">
        <f>$C22*'[1]Exited participant'!M28</f>
        <v>28.340425531914892</v>
      </c>
      <c r="G22" s="229">
        <f>$C22*'[1]Exited participant'!Q28</f>
        <v>11.546099290780141</v>
      </c>
      <c r="I22" s="69" t="str">
        <f>IF(C22&lt;SUM(D22:G22),"!! Total stocks must be &lt;= sum by duration","")</f>
        <v/>
      </c>
      <c r="K22" s="246"/>
    </row>
    <row r="23" spans="1:11" ht="15" thickBot="1" x14ac:dyDescent="0.4">
      <c r="A23" s="3"/>
      <c r="B23" s="7" t="s">
        <v>440</v>
      </c>
      <c r="C23" s="232">
        <v>52</v>
      </c>
      <c r="D23" s="229">
        <f>$C23*'[1]Exited participant'!K29</f>
        <v>31.540983606557376</v>
      </c>
      <c r="E23" s="229">
        <f>$C23*'[1]Exited participant'!L29</f>
        <v>6.8196721311475414</v>
      </c>
      <c r="F23" s="229">
        <f>$C23*'[1]Exited participant'!M29</f>
        <v>9.3770491803278695</v>
      </c>
      <c r="G23" s="229">
        <f>$C23*'[1]Exited participant'!Q29</f>
        <v>4.2622950819672125</v>
      </c>
      <c r="I23" s="70" t="str">
        <f>IF(C23&lt;SUM(D23:G23),"!! Total stocks must be &lt;= sum by duration","")</f>
        <v/>
      </c>
      <c r="K23" s="247"/>
    </row>
    <row r="24" spans="1:11" ht="15" thickTop="1" x14ac:dyDescent="0.35"/>
    <row r="26" spans="1:11" x14ac:dyDescent="0.35">
      <c r="B26" s="231"/>
      <c r="C26" s="231"/>
      <c r="D26" s="231"/>
      <c r="E26" s="231"/>
      <c r="F26" s="231"/>
      <c r="G26" s="231"/>
    </row>
    <row r="27" spans="1:11" x14ac:dyDescent="0.35">
      <c r="B27" s="231"/>
      <c r="C27" s="231"/>
      <c r="D27" s="231"/>
      <c r="E27" s="231"/>
      <c r="F27" s="231"/>
      <c r="G27" s="231"/>
    </row>
    <row r="28" spans="1:11" x14ac:dyDescent="0.35">
      <c r="B28" s="231"/>
      <c r="C28" s="231"/>
      <c r="D28" s="231"/>
      <c r="E28" s="231"/>
      <c r="F28" s="231"/>
      <c r="G28" s="231"/>
    </row>
    <row r="29" spans="1:11" x14ac:dyDescent="0.35">
      <c r="B29" s="231"/>
    </row>
    <row r="30" spans="1:11" x14ac:dyDescent="0.35">
      <c r="B30" s="231"/>
    </row>
    <row r="31" spans="1:11" x14ac:dyDescent="0.35">
      <c r="B31" s="231"/>
    </row>
    <row r="32" spans="1:11" x14ac:dyDescent="0.35">
      <c r="B32" s="231"/>
    </row>
    <row r="33" spans="2:2" x14ac:dyDescent="0.35">
      <c r="B33" s="231"/>
    </row>
    <row r="34" spans="2:2" x14ac:dyDescent="0.35">
      <c r="B34" s="231"/>
    </row>
    <row r="35" spans="2:2" x14ac:dyDescent="0.35">
      <c r="B35" s="231"/>
    </row>
    <row r="36" spans="2:2" x14ac:dyDescent="0.35">
      <c r="B36" s="231"/>
    </row>
    <row r="37" spans="2:2" x14ac:dyDescent="0.35">
      <c r="B37" s="231"/>
    </row>
    <row r="38" spans="2:2" x14ac:dyDescent="0.35">
      <c r="B38" s="231"/>
    </row>
  </sheetData>
  <sheetProtection formatCells="0" formatColumns="0" formatRows="0"/>
  <mergeCells count="4">
    <mergeCell ref="K8:K9"/>
    <mergeCell ref="C7:G8"/>
    <mergeCell ref="A7:B8"/>
    <mergeCell ref="K10:K23"/>
  </mergeCells>
  <pageMargins left="0.23622047244094491" right="0.23622047244094491" top="0.74803149606299213" bottom="0.74803149606299213" header="0.31496062992125984" footer="0.31496062992125984"/>
  <pageSetup paperSize="9" orientation="landscape" r:id="rId1"/>
  <headerFooter>
    <oddFooter>&amp;LYG monitoring (pilot)&amp;R&amp;A\&amp;P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60A3A-6376-4E9E-AF26-2FD1CD26B71F}">
  <dimension ref="A1:R44"/>
  <sheetViews>
    <sheetView topLeftCell="A21" workbookViewId="0">
      <selection activeCell="J14" sqref="J14"/>
    </sheetView>
  </sheetViews>
  <sheetFormatPr defaultColWidth="9.1796875" defaultRowHeight="14.5" x14ac:dyDescent="0.35"/>
  <cols>
    <col min="1" max="1" width="2.26953125" customWidth="1"/>
    <col min="2" max="2" width="19.7265625" customWidth="1"/>
    <col min="3" max="3" width="9.7265625" customWidth="1"/>
    <col min="4" max="4" width="9.81640625" customWidth="1"/>
    <col min="5" max="5" width="10.1796875" customWidth="1"/>
    <col min="6" max="11" width="10.453125" customWidth="1"/>
    <col min="12" max="12" width="10" customWidth="1"/>
    <col min="13" max="13" width="9.1796875" bestFit="1" customWidth="1"/>
    <col min="14" max="14" width="10.26953125" style="31" customWidth="1"/>
    <col min="15" max="15" width="3.54296875" customWidth="1"/>
    <col min="16" max="16" width="49.26953125" style="67" customWidth="1"/>
    <col min="17" max="17" width="3" customWidth="1"/>
    <col min="18" max="18" width="36.54296875" customWidth="1"/>
  </cols>
  <sheetData>
    <row r="1" spans="1:18" s="11" customFormat="1" ht="18.5" x14ac:dyDescent="0.45">
      <c r="A1" s="12" t="s">
        <v>157</v>
      </c>
      <c r="N1" s="30"/>
      <c r="P1" s="66"/>
    </row>
    <row r="2" spans="1:18" ht="15" thickBot="1" x14ac:dyDescent="0.4">
      <c r="A2" s="1"/>
      <c r="B2" s="63"/>
    </row>
    <row r="3" spans="1:18" s="90" customFormat="1" ht="19" thickBot="1" x14ac:dyDescent="0.5">
      <c r="A3" s="83" t="s">
        <v>181</v>
      </c>
      <c r="B3" s="84"/>
      <c r="C3" s="84"/>
      <c r="D3" s="92"/>
      <c r="E3" s="93">
        <f>RefYear_Main</f>
        <v>2025</v>
      </c>
      <c r="F3" s="82"/>
      <c r="G3" s="82"/>
      <c r="H3" s="91"/>
      <c r="I3" s="91"/>
      <c r="J3" s="91"/>
      <c r="K3" s="91"/>
      <c r="L3" s="91"/>
      <c r="M3" s="91"/>
      <c r="N3" s="87"/>
    </row>
    <row r="4" spans="1:18" s="90" customFormat="1" ht="19" thickBot="1" x14ac:dyDescent="0.5">
      <c r="A4" s="136"/>
      <c r="B4" s="136"/>
      <c r="C4" s="136"/>
      <c r="D4" s="137"/>
      <c r="E4" s="138"/>
      <c r="F4" s="138"/>
      <c r="G4" s="88"/>
      <c r="H4" s="88"/>
      <c r="I4" s="88"/>
      <c r="J4" s="89"/>
    </row>
    <row r="5" spans="1:18" s="90" customFormat="1" ht="19" thickBot="1" x14ac:dyDescent="0.5">
      <c r="A5" s="139" t="s">
        <v>225</v>
      </c>
      <c r="B5" s="140"/>
      <c r="C5" s="140"/>
      <c r="D5" s="141"/>
      <c r="E5" s="140"/>
      <c r="F5" s="140"/>
      <c r="G5" s="140"/>
      <c r="H5" s="140"/>
      <c r="I5" s="140"/>
      <c r="J5" s="140"/>
      <c r="K5" s="140"/>
      <c r="L5" s="140"/>
      <c r="M5" s="140"/>
      <c r="N5" s="142"/>
    </row>
    <row r="6" spans="1:18" ht="15" thickBot="1" x14ac:dyDescent="0.4">
      <c r="A6" s="1"/>
    </row>
    <row r="7" spans="1:18" s="18" customFormat="1" ht="15" thickTop="1" x14ac:dyDescent="0.35">
      <c r="A7" s="242" t="s">
        <v>131</v>
      </c>
      <c r="B7" s="243"/>
      <c r="C7" s="331" t="s">
        <v>101</v>
      </c>
      <c r="D7" s="326" t="s">
        <v>132</v>
      </c>
      <c r="E7" s="326"/>
      <c r="F7" s="326"/>
      <c r="G7" s="326"/>
      <c r="H7" s="326"/>
      <c r="I7" s="326"/>
      <c r="J7" s="326"/>
      <c r="K7" s="326"/>
      <c r="L7" s="326"/>
      <c r="M7" s="322"/>
      <c r="N7" s="334"/>
      <c r="P7" s="65" t="s">
        <v>121</v>
      </c>
      <c r="R7" s="72" t="s">
        <v>122</v>
      </c>
    </row>
    <row r="8" spans="1:18" s="18" customFormat="1" ht="33.75" customHeight="1" x14ac:dyDescent="0.35">
      <c r="A8" s="244"/>
      <c r="B8" s="245"/>
      <c r="C8" s="332"/>
      <c r="D8" s="327" t="s">
        <v>97</v>
      </c>
      <c r="E8" s="327"/>
      <c r="F8" s="327"/>
      <c r="G8" s="327"/>
      <c r="H8" s="327"/>
      <c r="I8" s="327"/>
      <c r="J8" s="327"/>
      <c r="K8" s="327"/>
      <c r="L8" s="335" t="s">
        <v>98</v>
      </c>
      <c r="M8" s="336"/>
      <c r="N8" s="337" t="s">
        <v>21</v>
      </c>
      <c r="P8" s="325" t="s">
        <v>171</v>
      </c>
      <c r="R8" s="235" t="s">
        <v>123</v>
      </c>
    </row>
    <row r="9" spans="1:18" s="18" customFormat="1" ht="15" thickBot="1" x14ac:dyDescent="0.4">
      <c r="A9" s="244"/>
      <c r="B9" s="245"/>
      <c r="C9" s="333"/>
      <c r="D9" s="327" t="s">
        <v>3</v>
      </c>
      <c r="E9" s="327"/>
      <c r="F9" s="327"/>
      <c r="G9" s="327"/>
      <c r="H9" s="327" t="s">
        <v>19</v>
      </c>
      <c r="I9" s="327"/>
      <c r="J9" s="327"/>
      <c r="K9" s="327"/>
      <c r="L9" s="340" t="s">
        <v>113</v>
      </c>
      <c r="M9" s="340" t="s">
        <v>114</v>
      </c>
      <c r="N9" s="338"/>
      <c r="P9" s="325"/>
      <c r="Q9"/>
      <c r="R9" s="235"/>
    </row>
    <row r="10" spans="1:18" s="20" customFormat="1" ht="29.5" thickBot="1" x14ac:dyDescent="0.4">
      <c r="A10" s="244"/>
      <c r="B10" s="245"/>
      <c r="C10" s="19" t="s">
        <v>3</v>
      </c>
      <c r="D10" s="33" t="s">
        <v>109</v>
      </c>
      <c r="E10" s="33" t="s">
        <v>110</v>
      </c>
      <c r="F10" s="33" t="s">
        <v>111</v>
      </c>
      <c r="G10" s="33" t="s">
        <v>112</v>
      </c>
      <c r="H10" s="33" t="s">
        <v>102</v>
      </c>
      <c r="I10" s="33" t="s">
        <v>103</v>
      </c>
      <c r="J10" s="33" t="s">
        <v>104</v>
      </c>
      <c r="K10" s="33" t="s">
        <v>105</v>
      </c>
      <c r="L10" s="340"/>
      <c r="M10" s="340"/>
      <c r="N10" s="338"/>
      <c r="P10" s="339"/>
      <c r="Q10"/>
      <c r="R10" s="341" t="s">
        <v>698</v>
      </c>
    </row>
    <row r="11" spans="1:18" x14ac:dyDescent="0.35">
      <c r="A11" s="21" t="s">
        <v>24</v>
      </c>
      <c r="B11" s="22"/>
      <c r="C11" s="23"/>
      <c r="D11" s="24"/>
      <c r="E11" s="25"/>
      <c r="F11" s="25"/>
      <c r="G11" s="25"/>
      <c r="H11" s="25"/>
      <c r="I11" s="25"/>
      <c r="J11" s="25"/>
      <c r="K11" s="25"/>
      <c r="L11" s="25"/>
      <c r="M11" s="25"/>
      <c r="N11" s="32"/>
      <c r="P11" s="69" t="str" cm="1">
        <f t="array" ref="P11">IF(SUM(IF(C13:M26&lt;C30:M43,1,0)),"!! Exits within 4 months must &lt;= total exits in all cases","")</f>
        <v/>
      </c>
      <c r="R11" s="246"/>
    </row>
    <row r="12" spans="1:18" x14ac:dyDescent="0.35">
      <c r="A12" s="4" t="s">
        <v>106</v>
      </c>
      <c r="B12" s="5"/>
      <c r="C12" s="39" t="s">
        <v>3</v>
      </c>
      <c r="D12" s="40" t="s">
        <v>15</v>
      </c>
      <c r="E12" s="40" t="s">
        <v>16</v>
      </c>
      <c r="F12" s="40" t="s">
        <v>17</v>
      </c>
      <c r="G12" s="40" t="s">
        <v>18</v>
      </c>
      <c r="H12" s="40" t="str">
        <f>D$12 &amp; " (subsidised)"</f>
        <v>Employment (subsidised)</v>
      </c>
      <c r="I12" s="40" t="str">
        <f t="shared" ref="I12:K12" si="0">E$12 &amp; " (subsidised)"</f>
        <v>Education (subsidised)</v>
      </c>
      <c r="J12" s="40" t="str">
        <f t="shared" si="0"/>
        <v>Apprenticeship (subsidised)</v>
      </c>
      <c r="K12" s="40" t="str">
        <f t="shared" si="0"/>
        <v>Traineeship (subsidised)</v>
      </c>
      <c r="L12" s="40" t="s">
        <v>20</v>
      </c>
      <c r="M12" s="41" t="s">
        <v>100</v>
      </c>
      <c r="N12" s="42" t="s">
        <v>21</v>
      </c>
      <c r="P12" s="69" t="str" cm="1">
        <f t="array" ref="P12">IF(SUM(IF(C13:M16&lt;(C18:M21+C23:M26),1,0)),"!! Check sum by sex for one or more columns/rows","")</f>
        <v/>
      </c>
      <c r="R12" s="246"/>
    </row>
    <row r="13" spans="1:18" x14ac:dyDescent="0.35">
      <c r="A13" s="2"/>
      <c r="B13" s="6" t="s">
        <v>441</v>
      </c>
      <c r="C13" s="131">
        <f>C18+C23</f>
        <v>1046</v>
      </c>
      <c r="D13" s="228"/>
      <c r="E13" s="228"/>
      <c r="F13" s="131"/>
      <c r="G13" s="131"/>
      <c r="H13" s="131"/>
      <c r="I13" s="131"/>
      <c r="J13" s="131"/>
      <c r="K13" s="131"/>
      <c r="L13" s="131"/>
      <c r="M13" s="131"/>
      <c r="N13" s="127">
        <f>C13-SUM(D13:G13,L13:M13)</f>
        <v>1046</v>
      </c>
      <c r="P13" s="69" t="str" cm="1">
        <f t="array" ref="P13">IF(C13&lt;SUM(D13:G13,L13:M13),"!! Total exits must be &gt;= sum by destination",IF(SUM(IF(H13:K13&gt;D13:G13,1,0))&gt;0,"!! Exits to subs. dests. must be &lt;= total to destination",""))</f>
        <v/>
      </c>
      <c r="R13" s="246"/>
    </row>
    <row r="14" spans="1:18" x14ac:dyDescent="0.35">
      <c r="A14" s="2"/>
      <c r="B14" s="6" t="s">
        <v>6</v>
      </c>
      <c r="C14" s="131">
        <f>C19+C24</f>
        <v>551</v>
      </c>
      <c r="D14" s="131"/>
      <c r="E14" s="131"/>
      <c r="F14" s="131"/>
      <c r="G14" s="131"/>
      <c r="H14" s="131"/>
      <c r="I14" s="131"/>
      <c r="J14" s="131"/>
      <c r="K14" s="131"/>
      <c r="L14" s="131"/>
      <c r="M14" s="131"/>
      <c r="N14" s="127">
        <f>C14-SUM(D14:G14,L14:M14)</f>
        <v>551</v>
      </c>
      <c r="P14" s="69" t="str" cm="1">
        <f t="array" ref="P14">IF(C14&lt;SUM(D14:G14,L14:M14),"!! Total exits must be &gt;= sum by destination",IF(SUM(IF(H14:K14&gt;D14:G14,1,0))&gt;0,"!! Exits to subs. dests. must be &lt;= total to destination",""))</f>
        <v/>
      </c>
      <c r="R14" s="246"/>
    </row>
    <row r="15" spans="1:18" x14ac:dyDescent="0.35">
      <c r="A15" s="2"/>
      <c r="B15" s="6" t="s">
        <v>7</v>
      </c>
      <c r="C15" s="131">
        <f>C20+C25</f>
        <v>347</v>
      </c>
      <c r="D15" s="131"/>
      <c r="E15" s="131"/>
      <c r="F15" s="131"/>
      <c r="G15" s="131"/>
      <c r="H15" s="131"/>
      <c r="I15" s="131"/>
      <c r="J15" s="131"/>
      <c r="K15" s="131"/>
      <c r="L15" s="131"/>
      <c r="M15" s="131"/>
      <c r="N15" s="127">
        <f>C15-SUM(D15:G15,L15:M15)</f>
        <v>347</v>
      </c>
      <c r="P15" s="69" t="str" cm="1">
        <f t="array" ref="P15">IF(C15&lt;SUM(D15:G15,L15:M15),"!! Total exits must be &gt;= sum by destination",IF(SUM(IF(H15:K15&gt;D15:G15,1,0))&gt;0,"!! Exits to subs. dests. must be &lt;= total to destination",""))</f>
        <v/>
      </c>
      <c r="R15" s="246"/>
    </row>
    <row r="16" spans="1:18" x14ac:dyDescent="0.35">
      <c r="A16" s="2"/>
      <c r="B16" s="6" t="s">
        <v>440</v>
      </c>
      <c r="C16" s="131">
        <f>C21+C26</f>
        <v>130</v>
      </c>
      <c r="D16" s="131"/>
      <c r="E16" s="131"/>
      <c r="F16" s="131"/>
      <c r="G16" s="131"/>
      <c r="H16" s="131"/>
      <c r="I16" s="131"/>
      <c r="J16" s="131"/>
      <c r="K16" s="131"/>
      <c r="L16" s="131"/>
      <c r="M16" s="131"/>
      <c r="N16" s="127">
        <f>C16-SUM(D16:G16,L16:M16)</f>
        <v>130</v>
      </c>
      <c r="P16" s="69" t="str" cm="1">
        <f t="array" ref="P16">IF(C16&lt;SUM(D16:G16,L16:M16),"!! Total exits must be &gt;= sum by destination",IF(SUM(IF(H16:K16&gt;D16:G16,1,0))&gt;0,"!! Exits to subs. dests. must be &lt;= total to destination",""))</f>
        <v/>
      </c>
      <c r="R16" s="246"/>
    </row>
    <row r="17" spans="1:18" x14ac:dyDescent="0.35">
      <c r="A17" s="4" t="s">
        <v>4</v>
      </c>
      <c r="B17" s="5"/>
      <c r="C17" s="39" t="str">
        <f>C$12</f>
        <v>Total</v>
      </c>
      <c r="D17" s="40" t="str">
        <f t="shared" ref="D17:N17" si="1">D$12</f>
        <v>Employment</v>
      </c>
      <c r="E17" s="40" t="str">
        <f t="shared" si="1"/>
        <v>Education</v>
      </c>
      <c r="F17" s="40" t="str">
        <f t="shared" si="1"/>
        <v>Apprenticeship</v>
      </c>
      <c r="G17" s="40" t="str">
        <f t="shared" si="1"/>
        <v>Traineeship</v>
      </c>
      <c r="H17" s="40" t="str">
        <f t="shared" si="1"/>
        <v>Employment (subsidised)</v>
      </c>
      <c r="I17" s="40" t="str">
        <f t="shared" si="1"/>
        <v>Education (subsidised)</v>
      </c>
      <c r="J17" s="40" t="str">
        <f t="shared" si="1"/>
        <v>Apprenticeship (subsidised)</v>
      </c>
      <c r="K17" s="40" t="str">
        <f t="shared" si="1"/>
        <v>Traineeship (subsidised)</v>
      </c>
      <c r="L17" s="40" t="str">
        <f t="shared" si="1"/>
        <v>Unemployment</v>
      </c>
      <c r="M17" s="41" t="str">
        <f t="shared" si="1"/>
        <v>Inactivity</v>
      </c>
      <c r="N17" s="42" t="str">
        <f t="shared" si="1"/>
        <v>Unknown</v>
      </c>
      <c r="P17" s="69" t="str" cm="1">
        <f t="array" ref="P17">IF(SUM(IF(C18:M18&lt;(C19:M19+C20:M20+C21:M21),1,0)),"!! Check sum by age for one or more columns","")</f>
        <v/>
      </c>
      <c r="R17" s="246"/>
    </row>
    <row r="18" spans="1:18" x14ac:dyDescent="0.35">
      <c r="A18" s="2"/>
      <c r="B18" s="6" t="s">
        <v>441</v>
      </c>
      <c r="C18" s="129">
        <v>592</v>
      </c>
      <c r="D18" s="130"/>
      <c r="E18" s="131"/>
      <c r="F18" s="131"/>
      <c r="G18" s="131"/>
      <c r="H18" s="131"/>
      <c r="I18" s="131"/>
      <c r="J18" s="131"/>
      <c r="K18" s="131"/>
      <c r="L18" s="131"/>
      <c r="M18" s="131"/>
      <c r="N18" s="127">
        <f>C18-SUM(D18:G18,L18:M18)</f>
        <v>592</v>
      </c>
      <c r="P18" s="69" t="str" cm="1">
        <f t="array" ref="P18">IF(C18&lt;SUM(D18:G18,L18:M18),"!! Total exits must be &gt;= sum by destination",IF(SUM(IF(H18:K18&gt;D18:G18,1,0))&gt;0,"!! Exits to subs. dests. must be &lt;= total to destination",""))</f>
        <v/>
      </c>
      <c r="R18" s="246"/>
    </row>
    <row r="19" spans="1:18" x14ac:dyDescent="0.35">
      <c r="A19" s="2"/>
      <c r="B19" s="6" t="s">
        <v>6</v>
      </c>
      <c r="C19" s="129">
        <v>304</v>
      </c>
      <c r="D19" s="130"/>
      <c r="E19" s="131"/>
      <c r="F19" s="131"/>
      <c r="G19" s="131"/>
      <c r="H19" s="131"/>
      <c r="I19" s="131"/>
      <c r="J19" s="131"/>
      <c r="K19" s="131"/>
      <c r="L19" s="131"/>
      <c r="M19" s="131"/>
      <c r="N19" s="127">
        <f>C19-SUM(D19:G19,L19:M19)</f>
        <v>304</v>
      </c>
      <c r="P19" s="69" t="str" cm="1">
        <f t="array" ref="P19">IF(C19&lt;SUM(D19:G19,L19:M19),"!! Total exits must be &gt;= sum by destination",IF(SUM(IF(H19:K19&gt;D19:G19,1,0))&gt;0,"!! Exits to subs. dests. must be &lt;= total to destination",""))</f>
        <v/>
      </c>
      <c r="R19" s="246"/>
    </row>
    <row r="20" spans="1:18" x14ac:dyDescent="0.35">
      <c r="A20" s="2"/>
      <c r="B20" s="6" t="s">
        <v>7</v>
      </c>
      <c r="C20" s="129">
        <v>206</v>
      </c>
      <c r="D20" s="130"/>
      <c r="E20" s="131"/>
      <c r="F20" s="131"/>
      <c r="G20" s="131"/>
      <c r="H20" s="131"/>
      <c r="I20" s="131"/>
      <c r="J20" s="131"/>
      <c r="K20" s="131"/>
      <c r="L20" s="131"/>
      <c r="M20" s="131"/>
      <c r="N20" s="127">
        <f>C20-SUM(D20:G20,L20:M20)</f>
        <v>206</v>
      </c>
      <c r="P20" s="69" t="str" cm="1">
        <f t="array" ref="P20">IF(C20&lt;SUM(D20:G20,L20:M20),"!! Total exits must be &gt;= sum by destination",IF(SUM(IF(H20:K20&gt;D20:G20,1,0))&gt;0,"!! Exits to subs. dests. must be &lt;= total to destination",""))</f>
        <v/>
      </c>
      <c r="R20" s="246"/>
    </row>
    <row r="21" spans="1:18" x14ac:dyDescent="0.35">
      <c r="A21" s="2"/>
      <c r="B21" s="6" t="s">
        <v>440</v>
      </c>
      <c r="C21" s="129">
        <v>69</v>
      </c>
      <c r="D21" s="130"/>
      <c r="E21" s="131"/>
      <c r="F21" s="131"/>
      <c r="G21" s="131"/>
      <c r="H21" s="131"/>
      <c r="I21" s="131"/>
      <c r="J21" s="131"/>
      <c r="K21" s="131"/>
      <c r="L21" s="131"/>
      <c r="M21" s="131"/>
      <c r="N21" s="127">
        <f>C21-SUM(D21:G21,L21:M21)</f>
        <v>69</v>
      </c>
      <c r="P21" s="69" t="str" cm="1">
        <f t="array" ref="P21">IF(C21&lt;SUM(D21:G21,L21:M21),"!! Total exits must be &gt;= sum by destination",IF(SUM(IF(H21:K21&gt;D21:G21,1,0))&gt;0,"!! Exits to subs. dests. must be &lt;= total to destination",""))</f>
        <v/>
      </c>
      <c r="R21" s="246"/>
    </row>
    <row r="22" spans="1:18" x14ac:dyDescent="0.35">
      <c r="A22" s="4" t="s">
        <v>5</v>
      </c>
      <c r="B22" s="5"/>
      <c r="C22" s="39" t="str">
        <f t="shared" ref="C22:N22" si="2">C$12</f>
        <v>Total</v>
      </c>
      <c r="D22" s="40" t="str">
        <f t="shared" si="2"/>
        <v>Employment</v>
      </c>
      <c r="E22" s="40" t="str">
        <f t="shared" si="2"/>
        <v>Education</v>
      </c>
      <c r="F22" s="40" t="str">
        <f t="shared" si="2"/>
        <v>Apprenticeship</v>
      </c>
      <c r="G22" s="40" t="str">
        <f t="shared" si="2"/>
        <v>Traineeship</v>
      </c>
      <c r="H22" s="40" t="str">
        <f t="shared" si="2"/>
        <v>Employment (subsidised)</v>
      </c>
      <c r="I22" s="40" t="str">
        <f t="shared" si="2"/>
        <v>Education (subsidised)</v>
      </c>
      <c r="J22" s="40" t="str">
        <f t="shared" si="2"/>
        <v>Apprenticeship (subsidised)</v>
      </c>
      <c r="K22" s="40" t="str">
        <f t="shared" si="2"/>
        <v>Traineeship (subsidised)</v>
      </c>
      <c r="L22" s="40" t="str">
        <f t="shared" si="2"/>
        <v>Unemployment</v>
      </c>
      <c r="M22" s="41" t="str">
        <f t="shared" si="2"/>
        <v>Inactivity</v>
      </c>
      <c r="N22" s="42" t="str">
        <f t="shared" si="2"/>
        <v>Unknown</v>
      </c>
      <c r="P22" s="69" t="str" cm="1">
        <f t="array" ref="P22">IF(SUM(IF(C23:M23&lt;(C24:M24+C25:M25+C26:M26),1,0)),"!! Check sum by age for one or more columns","")</f>
        <v/>
      </c>
      <c r="R22" s="246"/>
    </row>
    <row r="23" spans="1:18" x14ac:dyDescent="0.35">
      <c r="A23" s="2"/>
      <c r="B23" s="6" t="s">
        <v>441</v>
      </c>
      <c r="C23" s="129">
        <v>454</v>
      </c>
      <c r="D23" s="130"/>
      <c r="E23" s="131"/>
      <c r="F23" s="131"/>
      <c r="G23" s="131"/>
      <c r="H23" s="131"/>
      <c r="I23" s="131"/>
      <c r="J23" s="131"/>
      <c r="K23" s="131"/>
      <c r="L23" s="131"/>
      <c r="M23" s="131"/>
      <c r="N23" s="127">
        <f>C23-SUM(D23:G23,L23:M23)</f>
        <v>454</v>
      </c>
      <c r="P23" s="69" t="str" cm="1">
        <f t="array" ref="P23">IF(C23&lt;SUM(D23:G23,L23:M23),"!! Total exits must be &gt;= sum by destination",IF(SUM(IF(H23:K23&gt;D23:G23,1,0))&gt;0,"!! Exits to subs. dests. must be &lt;= total to destination",""))</f>
        <v/>
      </c>
      <c r="R23" s="246"/>
    </row>
    <row r="24" spans="1:18" x14ac:dyDescent="0.35">
      <c r="A24" s="2"/>
      <c r="B24" s="6" t="s">
        <v>6</v>
      </c>
      <c r="C24" s="129">
        <v>247</v>
      </c>
      <c r="D24" s="130"/>
      <c r="E24" s="131"/>
      <c r="F24" s="131"/>
      <c r="G24" s="131"/>
      <c r="H24" s="131"/>
      <c r="I24" s="131"/>
      <c r="J24" s="131"/>
      <c r="K24" s="131"/>
      <c r="L24" s="131"/>
      <c r="M24" s="131"/>
      <c r="N24" s="127">
        <f>C24-SUM(D24:G24,L24:M24)</f>
        <v>247</v>
      </c>
      <c r="P24" s="69" t="str" cm="1">
        <f t="array" ref="P24">IF(C24&lt;SUM(D24:G24,L24:M24),"!! Total exits must be &gt;= sum by destination",IF(SUM(IF(H24:K24&gt;D24:G24,1,0))&gt;0,"!! Exits to subs. dests. must be &lt;= total to destination",""))</f>
        <v/>
      </c>
      <c r="R24" s="246"/>
    </row>
    <row r="25" spans="1:18" x14ac:dyDescent="0.35">
      <c r="A25" s="2"/>
      <c r="B25" s="6" t="s">
        <v>7</v>
      </c>
      <c r="C25" s="129">
        <v>141</v>
      </c>
      <c r="D25" s="130"/>
      <c r="E25" s="131"/>
      <c r="F25" s="131"/>
      <c r="G25" s="131"/>
      <c r="H25" s="131"/>
      <c r="I25" s="131"/>
      <c r="J25" s="131"/>
      <c r="K25" s="131"/>
      <c r="L25" s="131"/>
      <c r="M25" s="131"/>
      <c r="N25" s="127">
        <f>C25-SUM(D25:G25,L25:M25)</f>
        <v>141</v>
      </c>
      <c r="P25" s="69" t="str" cm="1">
        <f t="array" ref="P25">IF(C25&lt;SUM(D25:G25,L25:M25),"!! Total exits must be &gt;= sum by destination",IF(SUM(IF(H25:K25&gt;D25:G25,1,0))&gt;0,"!! Exits to subs. dests. must be &lt;= total to destination",""))</f>
        <v/>
      </c>
      <c r="R25" s="246"/>
    </row>
    <row r="26" spans="1:18" x14ac:dyDescent="0.35">
      <c r="A26" s="2"/>
      <c r="B26" s="6" t="s">
        <v>440</v>
      </c>
      <c r="C26" s="129">
        <v>61</v>
      </c>
      <c r="D26" s="130"/>
      <c r="E26" s="131"/>
      <c r="F26" s="131"/>
      <c r="G26" s="131"/>
      <c r="H26" s="131"/>
      <c r="I26" s="131"/>
      <c r="J26" s="131"/>
      <c r="K26" s="131"/>
      <c r="L26" s="131"/>
      <c r="M26" s="131"/>
      <c r="N26" s="127">
        <f>C26-SUM(D26:G26,L26:M26)</f>
        <v>61</v>
      </c>
      <c r="P26" s="69" t="str" cm="1">
        <f t="array" ref="P26">IF(C26&lt;SUM(D26:G26,L26:M26),"!! Total exits must be &gt;= sum by destination",IF(SUM(IF(H26:K26&gt;D26:G26,1,0))&gt;0,"!! Exits to subs. dests. must be &lt;= total to destination",""))</f>
        <v/>
      </c>
      <c r="R26" s="246"/>
    </row>
    <row r="27" spans="1:18" x14ac:dyDescent="0.35">
      <c r="A27" s="21" t="s">
        <v>25</v>
      </c>
      <c r="B27" s="22"/>
      <c r="C27" s="23"/>
      <c r="D27" s="24"/>
      <c r="E27" s="25"/>
      <c r="F27" s="25"/>
      <c r="G27" s="25"/>
      <c r="H27" s="25"/>
      <c r="I27" s="25"/>
      <c r="J27" s="25"/>
      <c r="K27" s="25"/>
      <c r="L27" s="25"/>
      <c r="M27" s="25"/>
      <c r="N27" s="32"/>
      <c r="P27" s="69"/>
      <c r="R27" s="246"/>
    </row>
    <row r="28" spans="1:18" ht="15" hidden="1" customHeight="1" x14ac:dyDescent="0.35">
      <c r="A28" s="14" t="str">
        <f>A27</f>
        <v>Exits within 4 months</v>
      </c>
      <c r="B28" s="15"/>
      <c r="C28" s="16" t="e">
        <f>#REF!</f>
        <v>#REF!</v>
      </c>
      <c r="D28" s="16" t="e">
        <f>#REF!</f>
        <v>#REF!</v>
      </c>
      <c r="E28" s="16" t="e">
        <f>#REF!</f>
        <v>#REF!</v>
      </c>
      <c r="F28" s="16" t="e">
        <f>#REF!</f>
        <v>#REF!</v>
      </c>
      <c r="G28" s="16" t="e">
        <f>#REF!</f>
        <v>#REF!</v>
      </c>
      <c r="H28" s="16" t="e">
        <f>#REF!</f>
        <v>#REF!</v>
      </c>
      <c r="I28" s="16" t="e">
        <f>#REF!</f>
        <v>#REF!</v>
      </c>
      <c r="J28" s="16" t="e">
        <f>#REF!</f>
        <v>#REF!</v>
      </c>
      <c r="K28" s="16" t="e">
        <f>#REF!</f>
        <v>#REF!</v>
      </c>
      <c r="L28" s="16" t="e">
        <f>#REF!</f>
        <v>#REF!</v>
      </c>
      <c r="M28" s="16" t="e">
        <f>#REF!</f>
        <v>#REF!</v>
      </c>
      <c r="N28" s="34" t="e">
        <f>#REF!</f>
        <v>#REF!</v>
      </c>
      <c r="P28" s="69"/>
      <c r="Q28" s="18"/>
      <c r="R28" s="246"/>
    </row>
    <row r="29" spans="1:18" x14ac:dyDescent="0.35">
      <c r="A29" s="4" t="s">
        <v>106</v>
      </c>
      <c r="B29" s="5"/>
      <c r="C29" s="39" t="str">
        <f t="shared" ref="C29:N29" si="3">C$12</f>
        <v>Total</v>
      </c>
      <c r="D29" s="40" t="str">
        <f t="shared" si="3"/>
        <v>Employment</v>
      </c>
      <c r="E29" s="40" t="str">
        <f t="shared" si="3"/>
        <v>Education</v>
      </c>
      <c r="F29" s="40" t="str">
        <f t="shared" si="3"/>
        <v>Apprenticeship</v>
      </c>
      <c r="G29" s="40" t="str">
        <f t="shared" si="3"/>
        <v>Traineeship</v>
      </c>
      <c r="H29" s="40" t="str">
        <f t="shared" si="3"/>
        <v>Employment (subsidised)</v>
      </c>
      <c r="I29" s="40" t="str">
        <f t="shared" si="3"/>
        <v>Education (subsidised)</v>
      </c>
      <c r="J29" s="40" t="str">
        <f t="shared" si="3"/>
        <v>Apprenticeship (subsidised)</v>
      </c>
      <c r="K29" s="40" t="str">
        <f t="shared" si="3"/>
        <v>Traineeship (subsidised)</v>
      </c>
      <c r="L29" s="40" t="str">
        <f t="shared" si="3"/>
        <v>Unemployment</v>
      </c>
      <c r="M29" s="41" t="str">
        <f t="shared" si="3"/>
        <v>Inactivity</v>
      </c>
      <c r="N29" s="42" t="str">
        <f t="shared" si="3"/>
        <v>Unknown</v>
      </c>
      <c r="P29" s="69" t="str" cm="1">
        <f t="array" ref="P29">IF(SUM(IF(C30:M33&lt;(C35:M38+C40:M43),1,0)),"!! Check sum by sex for one or more columns/rows","")</f>
        <v/>
      </c>
      <c r="Q29" s="18"/>
      <c r="R29" s="246"/>
    </row>
    <row r="30" spans="1:18" x14ac:dyDescent="0.35">
      <c r="A30" s="2"/>
      <c r="B30" s="6" t="s">
        <v>441</v>
      </c>
      <c r="C30" s="131">
        <f>C35+C40</f>
        <v>584</v>
      </c>
      <c r="D30" s="130"/>
      <c r="E30" s="131"/>
      <c r="F30" s="131"/>
      <c r="G30" s="131"/>
      <c r="H30" s="131"/>
      <c r="I30" s="131"/>
      <c r="J30" s="131"/>
      <c r="K30" s="131"/>
      <c r="L30" s="131"/>
      <c r="M30" s="131"/>
      <c r="N30" s="127">
        <f>C30-SUM(D30:G30,L30:M30)</f>
        <v>584</v>
      </c>
      <c r="P30" s="69" t="str" cm="1">
        <f t="array" ref="P30">IF(C30&lt;SUM(D30:G30,L30:M30),"!! Total exits must be &gt;= sum by destination",IF(SUM(IF(H30:K30&gt;D30:G30,1,0))&gt;0,"!! Exits to subs. dests. must be &lt;= total to destination",""))</f>
        <v/>
      </c>
      <c r="Q30" s="18"/>
      <c r="R30" s="246"/>
    </row>
    <row r="31" spans="1:18" x14ac:dyDescent="0.35">
      <c r="A31" s="2"/>
      <c r="B31" s="6" t="s">
        <v>6</v>
      </c>
      <c r="C31" s="131">
        <f>C36+C41</f>
        <v>303</v>
      </c>
      <c r="D31" s="130"/>
      <c r="E31" s="131"/>
      <c r="F31" s="131"/>
      <c r="G31" s="131"/>
      <c r="H31" s="131"/>
      <c r="I31" s="131"/>
      <c r="J31" s="131"/>
      <c r="K31" s="131"/>
      <c r="L31" s="131"/>
      <c r="M31" s="131"/>
      <c r="N31" s="127">
        <f>C31-SUM(D31:G31,L31:M31)</f>
        <v>303</v>
      </c>
      <c r="P31" s="69" t="str" cm="1">
        <f t="array" ref="P31">IF(C31&lt;SUM(D31:G31,L31:M31),"!! Total exits must be &gt;= sum by destination",IF(SUM(IF(H31:K31&gt;D31:G31,1,0))&gt;0,"!! Exits to subs. dests. must be &lt;= total to destination",""))</f>
        <v/>
      </c>
      <c r="Q31" s="20"/>
      <c r="R31" s="246"/>
    </row>
    <row r="32" spans="1:18" x14ac:dyDescent="0.35">
      <c r="A32" s="2"/>
      <c r="B32" s="6" t="s">
        <v>7</v>
      </c>
      <c r="C32" s="131">
        <f>C37+C42</f>
        <v>191</v>
      </c>
      <c r="D32" s="130"/>
      <c r="E32" s="131"/>
      <c r="F32" s="131"/>
      <c r="G32" s="131"/>
      <c r="H32" s="131"/>
      <c r="I32" s="131"/>
      <c r="J32" s="131"/>
      <c r="K32" s="131"/>
      <c r="L32" s="131"/>
      <c r="M32" s="131"/>
      <c r="N32" s="127">
        <f>C32-SUM(D32:G32,L32:M32)</f>
        <v>191</v>
      </c>
      <c r="P32" s="69" t="str" cm="1">
        <f t="array" ref="P32">IF(C32&lt;SUM(D32:G32,L32:M32),"!! Total exits must be &gt;= sum by destination",IF(SUM(IF(H32:K32&gt;D32:G32,1,0))&gt;0,"!! Exits to subs. dests. must be &lt;= total to destination",""))</f>
        <v/>
      </c>
      <c r="Q32" s="20"/>
      <c r="R32" s="246"/>
    </row>
    <row r="33" spans="1:18" x14ac:dyDescent="0.35">
      <c r="A33" s="2"/>
      <c r="B33" s="6" t="s">
        <v>440</v>
      </c>
      <c r="C33" s="131">
        <f>C38+C43</f>
        <v>87</v>
      </c>
      <c r="D33" s="130"/>
      <c r="E33" s="131"/>
      <c r="F33" s="131"/>
      <c r="G33" s="131"/>
      <c r="H33" s="131"/>
      <c r="I33" s="131"/>
      <c r="J33" s="131"/>
      <c r="K33" s="131"/>
      <c r="L33" s="131"/>
      <c r="M33" s="131"/>
      <c r="N33" s="127">
        <f>C33-SUM(D33:G33,L33:M33)</f>
        <v>87</v>
      </c>
      <c r="P33" s="69" t="str" cm="1">
        <f t="array" ref="P33">IF(C33&lt;SUM(D33:G33,L33:M33),"!! Total exits must be &gt;= sum by destination",IF(SUM(IF(H33:K33&gt;D33:G33,1,0))&gt;0,"!! Exits to subs. dests. must be &lt;= total to destination",""))</f>
        <v/>
      </c>
      <c r="Q33" s="20"/>
      <c r="R33" s="246"/>
    </row>
    <row r="34" spans="1:18" x14ac:dyDescent="0.35">
      <c r="A34" s="4" t="s">
        <v>4</v>
      </c>
      <c r="B34" s="5"/>
      <c r="C34" s="39" t="str">
        <f t="shared" ref="C34:N34" si="4">C$12</f>
        <v>Total</v>
      </c>
      <c r="D34" s="40" t="str">
        <f t="shared" si="4"/>
        <v>Employment</v>
      </c>
      <c r="E34" s="40" t="str">
        <f t="shared" si="4"/>
        <v>Education</v>
      </c>
      <c r="F34" s="40" t="str">
        <f t="shared" si="4"/>
        <v>Apprenticeship</v>
      </c>
      <c r="G34" s="40" t="str">
        <f t="shared" si="4"/>
        <v>Traineeship</v>
      </c>
      <c r="H34" s="40" t="str">
        <f t="shared" si="4"/>
        <v>Employment (subsidised)</v>
      </c>
      <c r="I34" s="40" t="str">
        <f t="shared" si="4"/>
        <v>Education (subsidised)</v>
      </c>
      <c r="J34" s="40" t="str">
        <f t="shared" si="4"/>
        <v>Apprenticeship (subsidised)</v>
      </c>
      <c r="K34" s="40" t="str">
        <f t="shared" si="4"/>
        <v>Traineeship (subsidised)</v>
      </c>
      <c r="L34" s="40" t="str">
        <f t="shared" si="4"/>
        <v>Unemployment</v>
      </c>
      <c r="M34" s="41" t="str">
        <f t="shared" si="4"/>
        <v>Inactivity</v>
      </c>
      <c r="N34" s="42" t="str">
        <f t="shared" si="4"/>
        <v>Unknown</v>
      </c>
      <c r="P34" s="69" t="str" cm="1">
        <f t="array" ref="P34">IF(SUM(IF(C35:M35&lt;(C36:M36+C37:M37+C38:M38),1,0)),"!! Check sum by age for one or more columns","")</f>
        <v/>
      </c>
      <c r="R34" s="246"/>
    </row>
    <row r="35" spans="1:18" x14ac:dyDescent="0.35">
      <c r="A35" s="2"/>
      <c r="B35" s="6" t="s">
        <v>441</v>
      </c>
      <c r="C35" s="129">
        <v>324</v>
      </c>
      <c r="D35" s="130"/>
      <c r="E35" s="131"/>
      <c r="F35" s="131"/>
      <c r="G35" s="131"/>
      <c r="H35" s="131"/>
      <c r="I35" s="131"/>
      <c r="J35" s="131"/>
      <c r="K35" s="131"/>
      <c r="L35" s="131"/>
      <c r="M35" s="131"/>
      <c r="N35" s="127">
        <f>C35-SUM(D35:G35,L35:M35)</f>
        <v>324</v>
      </c>
      <c r="P35" s="69" t="str" cm="1">
        <f t="array" ref="P35">IF(C35&lt;SUM(D35:G35,L35:M35),"!! Total exits must be &gt;= sum by destination",IF(SUM(IF(H35:K35&gt;D35:G35,1,0))&gt;0,"!! Exits to subs. dests. must be &lt;= total to destination",""))</f>
        <v/>
      </c>
      <c r="R35" s="246"/>
    </row>
    <row r="36" spans="1:18" x14ac:dyDescent="0.35">
      <c r="A36" s="2"/>
      <c r="B36" s="6" t="s">
        <v>6</v>
      </c>
      <c r="C36" s="129">
        <v>164</v>
      </c>
      <c r="D36" s="130"/>
      <c r="E36" s="131"/>
      <c r="F36" s="131"/>
      <c r="G36" s="131"/>
      <c r="H36" s="131"/>
      <c r="I36" s="131"/>
      <c r="J36" s="131"/>
      <c r="K36" s="131"/>
      <c r="L36" s="131"/>
      <c r="M36" s="131"/>
      <c r="N36" s="127">
        <f>C36-SUM(D36:G36,L36:M36)</f>
        <v>164</v>
      </c>
      <c r="P36" s="69" t="str" cm="1">
        <f t="array" ref="P36">IF(C36&lt;SUM(D36:G36,L36:M36),"!! Total exits must be &gt;= sum by destination",IF(SUM(IF(H36:K36&gt;D36:G36,1,0))&gt;0,"!! Exits to subs. dests. must be &lt;= total to destination",""))</f>
        <v/>
      </c>
      <c r="R36" s="246"/>
    </row>
    <row r="37" spans="1:18" x14ac:dyDescent="0.35">
      <c r="A37" s="2"/>
      <c r="B37" s="6" t="s">
        <v>7</v>
      </c>
      <c r="C37" s="129">
        <v>107</v>
      </c>
      <c r="D37" s="130"/>
      <c r="E37" s="131"/>
      <c r="F37" s="131"/>
      <c r="G37" s="131"/>
      <c r="H37" s="131"/>
      <c r="I37" s="131"/>
      <c r="J37" s="131"/>
      <c r="K37" s="131"/>
      <c r="L37" s="131"/>
      <c r="M37" s="131"/>
      <c r="N37" s="127">
        <f>C37-SUM(D37:G37,L37:M37)</f>
        <v>107</v>
      </c>
      <c r="P37" s="69" t="str" cm="1">
        <f t="array" ref="P37">IF(C37&lt;SUM(D37:G37,L37:M37),"!! Total exits must be &gt;= sum by destination",IF(SUM(IF(H37:K37&gt;D37:G37,1,0))&gt;0,"!! Exits to subs. dests. must be &lt;= total to destination",""))</f>
        <v/>
      </c>
      <c r="R37" s="246"/>
    </row>
    <row r="38" spans="1:18" x14ac:dyDescent="0.35">
      <c r="A38" s="2"/>
      <c r="B38" s="6" t="s">
        <v>440</v>
      </c>
      <c r="C38" s="129">
        <v>50</v>
      </c>
      <c r="D38" s="130"/>
      <c r="E38" s="131"/>
      <c r="F38" s="131"/>
      <c r="G38" s="131"/>
      <c r="H38" s="131"/>
      <c r="I38" s="131"/>
      <c r="J38" s="131"/>
      <c r="K38" s="131"/>
      <c r="L38" s="131"/>
      <c r="M38" s="131"/>
      <c r="N38" s="127">
        <f>C38-SUM(D38:G38,L38:M38)</f>
        <v>50</v>
      </c>
      <c r="P38" s="69" t="str" cm="1">
        <f t="array" ref="P38">IF(C38&lt;SUM(D38:G38,L38:M38),"!! Total exits must be &gt;= sum by destination",IF(SUM(IF(H38:K38&gt;D38:G38,1,0))&gt;0,"!! Exits to subs. dests. must be &lt;= total to destination",""))</f>
        <v/>
      </c>
      <c r="R38" s="246"/>
    </row>
    <row r="39" spans="1:18" x14ac:dyDescent="0.35">
      <c r="A39" s="4" t="s">
        <v>5</v>
      </c>
      <c r="B39" s="5"/>
      <c r="C39" s="39" t="str">
        <f t="shared" ref="C39:N39" si="5">C$12</f>
        <v>Total</v>
      </c>
      <c r="D39" s="40" t="str">
        <f t="shared" si="5"/>
        <v>Employment</v>
      </c>
      <c r="E39" s="40" t="str">
        <f t="shared" si="5"/>
        <v>Education</v>
      </c>
      <c r="F39" s="40" t="str">
        <f t="shared" si="5"/>
        <v>Apprenticeship</v>
      </c>
      <c r="G39" s="40" t="str">
        <f t="shared" si="5"/>
        <v>Traineeship</v>
      </c>
      <c r="H39" s="40" t="str">
        <f t="shared" si="5"/>
        <v>Employment (subsidised)</v>
      </c>
      <c r="I39" s="40" t="str">
        <f t="shared" si="5"/>
        <v>Education (subsidised)</v>
      </c>
      <c r="J39" s="40" t="str">
        <f t="shared" si="5"/>
        <v>Apprenticeship (subsidised)</v>
      </c>
      <c r="K39" s="40" t="str">
        <f t="shared" si="5"/>
        <v>Traineeship (subsidised)</v>
      </c>
      <c r="L39" s="40" t="str">
        <f t="shared" si="5"/>
        <v>Unemployment</v>
      </c>
      <c r="M39" s="41" t="str">
        <f t="shared" si="5"/>
        <v>Inactivity</v>
      </c>
      <c r="N39" s="42" t="str">
        <f t="shared" si="5"/>
        <v>Unknown</v>
      </c>
      <c r="P39" s="69" t="str" cm="1">
        <f t="array" ref="P39">IF(SUM(IF(C40:M40&lt;(C41:M41+C42:M42+C43:M43),1,0)),"!! Check sum by age for one or more columns","")</f>
        <v/>
      </c>
      <c r="R39" s="246"/>
    </row>
    <row r="40" spans="1:18" x14ac:dyDescent="0.35">
      <c r="A40" s="2"/>
      <c r="B40" s="6" t="s">
        <v>441</v>
      </c>
      <c r="C40" s="129">
        <v>260</v>
      </c>
      <c r="D40" s="130"/>
      <c r="E40" s="131"/>
      <c r="F40" s="131"/>
      <c r="G40" s="131"/>
      <c r="H40" s="131"/>
      <c r="I40" s="131"/>
      <c r="J40" s="131"/>
      <c r="K40" s="131"/>
      <c r="L40" s="131"/>
      <c r="M40" s="131"/>
      <c r="N40" s="127">
        <f>C40-SUM(D40:G40,L40:M40)</f>
        <v>260</v>
      </c>
      <c r="P40" s="69" t="str" cm="1">
        <f t="array" ref="P40">IF(C40&lt;SUM(D40:G40,L40:M40),"!! Total exits must be &gt;= sum by destination",IF(SUM(IF(H40:K40&gt;D40:G40,1,0))&gt;0,"!! Exits to subs. dests. must be &lt;= total to destination",""))</f>
        <v/>
      </c>
      <c r="R40" s="246"/>
    </row>
    <row r="41" spans="1:18" x14ac:dyDescent="0.35">
      <c r="A41" s="2"/>
      <c r="B41" s="6" t="s">
        <v>6</v>
      </c>
      <c r="C41" s="129">
        <v>139</v>
      </c>
      <c r="D41" s="130"/>
      <c r="E41" s="131"/>
      <c r="F41" s="131"/>
      <c r="G41" s="131"/>
      <c r="H41" s="131"/>
      <c r="I41" s="131"/>
      <c r="J41" s="131"/>
      <c r="K41" s="131"/>
      <c r="L41" s="131"/>
      <c r="M41" s="131"/>
      <c r="N41" s="127">
        <f>C41-SUM(D41:G41,L41:M41)</f>
        <v>139</v>
      </c>
      <c r="P41" s="69" t="str" cm="1">
        <f t="array" ref="P41">IF(C41&lt;SUM(D41:G41,L41:M41),"!! Total exits must be &gt;= sum by destination",IF(SUM(IF(H41:K41&gt;D41:G41,1,0))&gt;0,"!! Exits to subs. dests. must be &lt;= total to destination",""))</f>
        <v/>
      </c>
      <c r="R41" s="246"/>
    </row>
    <row r="42" spans="1:18" x14ac:dyDescent="0.35">
      <c r="A42" s="2"/>
      <c r="B42" s="6" t="s">
        <v>7</v>
      </c>
      <c r="C42" s="129">
        <v>84</v>
      </c>
      <c r="D42" s="130"/>
      <c r="E42" s="131"/>
      <c r="F42" s="131"/>
      <c r="G42" s="131"/>
      <c r="H42" s="131"/>
      <c r="I42" s="131"/>
      <c r="J42" s="131"/>
      <c r="K42" s="131"/>
      <c r="L42" s="131"/>
      <c r="M42" s="131"/>
      <c r="N42" s="127">
        <f>C42-SUM(D42:G42,L42:M42)</f>
        <v>84</v>
      </c>
      <c r="P42" s="69" t="str" cm="1">
        <f t="array" ref="P42">IF(C42&lt;SUM(D42:G42,L42:M42),"!! Total exits must be &gt;= sum by destination",IF(SUM(IF(H42:K42&gt;D42:G42,1,0))&gt;0,"!! Exits to subs. dests. must be &lt;= total to destination",""))</f>
        <v/>
      </c>
      <c r="R42" s="246"/>
    </row>
    <row r="43" spans="1:18" ht="15" thickBot="1" x14ac:dyDescent="0.4">
      <c r="A43" s="3"/>
      <c r="B43" s="6" t="s">
        <v>440</v>
      </c>
      <c r="C43" s="129">
        <v>37</v>
      </c>
      <c r="D43" s="133"/>
      <c r="E43" s="134"/>
      <c r="F43" s="134"/>
      <c r="G43" s="134"/>
      <c r="H43" s="134"/>
      <c r="I43" s="134"/>
      <c r="J43" s="134"/>
      <c r="K43" s="134"/>
      <c r="L43" s="134"/>
      <c r="M43" s="134"/>
      <c r="N43" s="128">
        <f>C43-SUM(D43:G43,L43:M43)</f>
        <v>37</v>
      </c>
      <c r="P43" s="70" t="str">
        <f t="array" ref="P43">IF(C43&lt;SUM(D43:G43,L43:M43),"!! Total exits must be &gt;= sum by destination",IF(SUM(IF(H43:K43&gt;D43:G43,1,0))&gt;0,"!! Exits to subs. dests. must be &lt;= total to destination",""))</f>
        <v/>
      </c>
      <c r="R43" s="247"/>
    </row>
    <row r="44" spans="1:18" ht="15" thickTop="1" x14ac:dyDescent="0.35"/>
  </sheetData>
  <sheetProtection algorithmName="SHA-512" hashValue="07hCgxQ8DoYMKekDbgVYiHsTN8n2+YKAIL7kMl5lfuwqF5UbWNjqE54gU7ADYpJsMX0IvJ1yrlfUQ8mqYjceTg==" saltValue="D1FCp8WJD6jiBfhDpxU2hw==" spinCount="100000" sheet="1" formatCells="0" formatColumns="0" formatRows="0"/>
  <mergeCells count="13">
    <mergeCell ref="P8:P10"/>
    <mergeCell ref="R8:R9"/>
    <mergeCell ref="D9:G9"/>
    <mergeCell ref="H9:K9"/>
    <mergeCell ref="L9:L10"/>
    <mergeCell ref="M9:M10"/>
    <mergeCell ref="R10:R43"/>
    <mergeCell ref="A7:B10"/>
    <mergeCell ref="C7:C9"/>
    <mergeCell ref="D7:N7"/>
    <mergeCell ref="D8:K8"/>
    <mergeCell ref="L8:M8"/>
    <mergeCell ref="N8:N10"/>
  </mergeCells>
  <conditionalFormatting sqref="N13:N43">
    <cfRule type="expression" dxfId="17" priority="1">
      <formula>N13&lt;0</formula>
    </cfRule>
  </conditionalFormatting>
  <pageMargins left="0.23622047244094491" right="0.23622047244094491" top="0.35433070866141736" bottom="0.55118110236220474" header="0.31496062992125984" footer="0.11811023622047245"/>
  <pageSetup paperSize="9" orientation="landscape" r:id="rId1"/>
  <headerFooter>
    <oddFooter>&amp;LYG monitoring (pilot)&amp;R&amp;A\&amp;P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9ead17d-bf2f-4784-a2e4-20755e579155">
      <Terms xmlns="http://schemas.microsoft.com/office/infopath/2007/PartnerControls"/>
    </lcf76f155ced4ddcb4097134ff3c332f>
    <TaxCatchAll xmlns="e78a6b73-2b08-4ad6-b282-3cc2a0a1cd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3844CC5533834AB3380C8FF04E96E7" ma:contentTypeVersion="16" ma:contentTypeDescription="Create a new document." ma:contentTypeScope="" ma:versionID="3912cc78d96e16670a105796c4dbf312">
  <xsd:schema xmlns:xsd="http://www.w3.org/2001/XMLSchema" xmlns:xs="http://www.w3.org/2001/XMLSchema" xmlns:p="http://schemas.microsoft.com/office/2006/metadata/properties" xmlns:ns2="a9ead17d-bf2f-4784-a2e4-20755e579155" xmlns:ns3="e78a6b73-2b08-4ad6-b282-3cc2a0a1cd8e" targetNamespace="http://schemas.microsoft.com/office/2006/metadata/properties" ma:root="true" ma:fieldsID="780bdb097a1a8e5e7c941b1318647252" ns2:_="" ns3:_="">
    <xsd:import namespace="a9ead17d-bf2f-4784-a2e4-20755e579155"/>
    <xsd:import namespace="e78a6b73-2b08-4ad6-b282-3cc2a0a1cd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ead17d-bf2f-4784-a2e4-20755e5791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e2c4caf-dac7-4b0c-8d03-4277580df732"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8a6b73-2b08-4ad6-b282-3cc2a0a1cd8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d44851d4-f28c-4c46-94fa-695288c253e6}" ma:internalName="TaxCatchAll" ma:showField="CatchAllData" ma:web="e78a6b73-2b08-4ad6-b282-3cc2a0a1cd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72A1CD-A406-4521-B51D-877441461ABD}">
  <ds:schemaRefs>
    <ds:schemaRef ds:uri="http://schemas.microsoft.com/sharepoint/v3/contenttype/forms"/>
  </ds:schemaRefs>
</ds:datastoreItem>
</file>

<file path=customXml/itemProps2.xml><?xml version="1.0" encoding="utf-8"?>
<ds:datastoreItem xmlns:ds="http://schemas.openxmlformats.org/officeDocument/2006/customXml" ds:itemID="{9C816A34-8E26-43EB-ACF8-4ADB859381EA}">
  <ds:schemaRefs>
    <ds:schemaRef ds:uri="http://schemas.microsoft.com/office/2006/metadata/properties"/>
    <ds:schemaRef ds:uri="http://schemas.microsoft.com/office/infopath/2007/PartnerControls"/>
    <ds:schemaRef ds:uri="a9ead17d-bf2f-4784-a2e4-20755e579155"/>
    <ds:schemaRef ds:uri="e78a6b73-2b08-4ad6-b282-3cc2a0a1cd8e"/>
  </ds:schemaRefs>
</ds:datastoreItem>
</file>

<file path=customXml/itemProps3.xml><?xml version="1.0" encoding="utf-8"?>
<ds:datastoreItem xmlns:ds="http://schemas.openxmlformats.org/officeDocument/2006/customXml" ds:itemID="{77356421-FB71-43E7-A687-B8A5289ACB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ead17d-bf2f-4784-a2e4-20755e579155"/>
    <ds:schemaRef ds:uri="e78a6b73-2b08-4ad6-b282-3cc2a0a1cd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204</vt:i4>
      </vt:variant>
    </vt:vector>
  </HeadingPairs>
  <TitlesOfParts>
    <vt:vector size="220" baseType="lpstr">
      <vt:lpstr>Intro</vt:lpstr>
      <vt:lpstr>Definitions</vt:lpstr>
      <vt:lpstr>Metadata</vt:lpstr>
      <vt:lpstr>Entrants 2024</vt:lpstr>
      <vt:lpstr>Stocks 2024 EY estimated</vt:lpstr>
      <vt:lpstr>Exits 2024</vt:lpstr>
      <vt:lpstr>Entrants</vt:lpstr>
      <vt:lpstr>Stocks</vt:lpstr>
      <vt:lpstr>Exits</vt:lpstr>
      <vt:lpstr>Follow-up T</vt:lpstr>
      <vt:lpstr>Follow-up T-1</vt:lpstr>
      <vt:lpstr>Follow-up T-2</vt:lpstr>
      <vt:lpstr>Indicators</vt:lpstr>
      <vt:lpstr>Metadata T</vt:lpstr>
      <vt:lpstr>Metadata T-1</vt:lpstr>
      <vt:lpstr>Refs</vt:lpstr>
      <vt:lpstr>Countries</vt:lpstr>
      <vt:lpstr>'Entrants 2024'!Entrants_Men</vt:lpstr>
      <vt:lpstr>Entrants_Men</vt:lpstr>
      <vt:lpstr>'Entrants 2024'!Entrants_Tot</vt:lpstr>
      <vt:lpstr>Entrants_Tot</vt:lpstr>
      <vt:lpstr>'Entrants 2024'!Entrants_Women</vt:lpstr>
      <vt:lpstr>Entrants_Women</vt:lpstr>
      <vt:lpstr>Exits!Exits_4m_Men</vt:lpstr>
      <vt:lpstr>Exits_4m_Men</vt:lpstr>
      <vt:lpstr>Exits!Exits_4m_Tot</vt:lpstr>
      <vt:lpstr>Exits_4m_Tot</vt:lpstr>
      <vt:lpstr>Exits!Exits_4m_Women</vt:lpstr>
      <vt:lpstr>Exits_4m_Women</vt:lpstr>
      <vt:lpstr>Exits!Exits_Tot_Men</vt:lpstr>
      <vt:lpstr>Exits_Tot_Men</vt:lpstr>
      <vt:lpstr>Exits!Exits_Tot_Tot</vt:lpstr>
      <vt:lpstr>Exits_Tot_Tot</vt:lpstr>
      <vt:lpstr>Exits!Exits_Tot_Women</vt:lpstr>
      <vt:lpstr>Exits_Tot_Women</vt:lpstr>
      <vt:lpstr>FUT_12_Appr_Men</vt:lpstr>
      <vt:lpstr>FUT_12_Appr_Tot</vt:lpstr>
      <vt:lpstr>FUT_12_Appr_Women</vt:lpstr>
      <vt:lpstr>FUT_12_Educ_Men</vt:lpstr>
      <vt:lpstr>FUT_12_Educ_Tot</vt:lpstr>
      <vt:lpstr>FUT_12_Educ_Women</vt:lpstr>
      <vt:lpstr>FUT_12_Emp_Men</vt:lpstr>
      <vt:lpstr>FUT_12_Emp_Tot</vt:lpstr>
      <vt:lpstr>FUT_12_Emp_Women</vt:lpstr>
      <vt:lpstr>FUT_12_Tot_Men</vt:lpstr>
      <vt:lpstr>FUT_12_Tot_Tot</vt:lpstr>
      <vt:lpstr>FUT_12_Tot_Women</vt:lpstr>
      <vt:lpstr>FUT_12_Train_Men</vt:lpstr>
      <vt:lpstr>FUT_12_Train_Tot</vt:lpstr>
      <vt:lpstr>FUT_12_Train_Women</vt:lpstr>
      <vt:lpstr>FUT_18_Appr_Men</vt:lpstr>
      <vt:lpstr>FUT_18_Appr_Tot</vt:lpstr>
      <vt:lpstr>FUT_18_Appr_Women</vt:lpstr>
      <vt:lpstr>FUT_18_Educ_Men</vt:lpstr>
      <vt:lpstr>FUT_18_Educ_Tot</vt:lpstr>
      <vt:lpstr>FUT_18_Educ_Women</vt:lpstr>
      <vt:lpstr>FUT_18_Emp_Men</vt:lpstr>
      <vt:lpstr>FUT_18_Emp_Tot</vt:lpstr>
      <vt:lpstr>FUT_18_Emp_Women</vt:lpstr>
      <vt:lpstr>FUT_18_Tot_Men</vt:lpstr>
      <vt:lpstr>FUT_18_Tot_Tot</vt:lpstr>
      <vt:lpstr>FUT_18_Tot_Women</vt:lpstr>
      <vt:lpstr>FUT_18_Train_Men</vt:lpstr>
      <vt:lpstr>FUT_18_Train_Tot</vt:lpstr>
      <vt:lpstr>FUT_18_Train_Women</vt:lpstr>
      <vt:lpstr>FUT_6_Appr_Men</vt:lpstr>
      <vt:lpstr>FUT_6_Appr_Tot</vt:lpstr>
      <vt:lpstr>FUT_6_Appr_Women</vt:lpstr>
      <vt:lpstr>FUT_6_Educ_Men</vt:lpstr>
      <vt:lpstr>FUT_6_Educ_Tot</vt:lpstr>
      <vt:lpstr>FUT_6_Educ_Women</vt:lpstr>
      <vt:lpstr>FUT_6_Emp_Men</vt:lpstr>
      <vt:lpstr>FUT_6_Emp_Tot</vt:lpstr>
      <vt:lpstr>FUT_6_Emp_Women</vt:lpstr>
      <vt:lpstr>FUT_6_Tot_Men</vt:lpstr>
      <vt:lpstr>FUT_6_Tot_Tot</vt:lpstr>
      <vt:lpstr>FUT_6_Tot_Women</vt:lpstr>
      <vt:lpstr>FUT_6_Train_Men</vt:lpstr>
      <vt:lpstr>FUT_6_Train_Tot</vt:lpstr>
      <vt:lpstr>FUT_6_Train_Women</vt:lpstr>
      <vt:lpstr>FUT1_12_Appr_Men</vt:lpstr>
      <vt:lpstr>FUT1_12_Appr_Tot</vt:lpstr>
      <vt:lpstr>FUT1_12_Appr_Women</vt:lpstr>
      <vt:lpstr>FUT1_12_Educ_Men</vt:lpstr>
      <vt:lpstr>FUT1_12_Educ_Tot</vt:lpstr>
      <vt:lpstr>FUT1_12_Educ_Women</vt:lpstr>
      <vt:lpstr>FUT1_12_Emp_Men</vt:lpstr>
      <vt:lpstr>FUT1_12_Emp_Tot</vt:lpstr>
      <vt:lpstr>FUT1_12_Emp_Women</vt:lpstr>
      <vt:lpstr>FUT1_12_Tot_Men</vt:lpstr>
      <vt:lpstr>FUT1_12_Tot_Tot</vt:lpstr>
      <vt:lpstr>FUT1_12_Tot_Women</vt:lpstr>
      <vt:lpstr>FUT1_12_Train_Men</vt:lpstr>
      <vt:lpstr>FUT1_12_Train_Tot</vt:lpstr>
      <vt:lpstr>FUT1_12_Train_Women</vt:lpstr>
      <vt:lpstr>FUT1_18_Appr_Men</vt:lpstr>
      <vt:lpstr>FUT1_18_Appr_Tot</vt:lpstr>
      <vt:lpstr>FUT1_18_Appr_Women</vt:lpstr>
      <vt:lpstr>FUT1_18_Educ_Men</vt:lpstr>
      <vt:lpstr>FUT1_18_Educ_Tot</vt:lpstr>
      <vt:lpstr>FUT1_18_Educ_Women</vt:lpstr>
      <vt:lpstr>FUT1_18_Emp_Men</vt:lpstr>
      <vt:lpstr>FUT1_18_Emp_Tot</vt:lpstr>
      <vt:lpstr>FUT1_18_Emp_Women</vt:lpstr>
      <vt:lpstr>FUT1_18_Tot_Men</vt:lpstr>
      <vt:lpstr>FUT1_18_Tot_Tot</vt:lpstr>
      <vt:lpstr>FUT1_18_Tot_Women</vt:lpstr>
      <vt:lpstr>FUT1_18_Train_Men</vt:lpstr>
      <vt:lpstr>FUT1_18_Train_Tot</vt:lpstr>
      <vt:lpstr>FUT1_18_Train_Women</vt:lpstr>
      <vt:lpstr>FUT1_6_Appr_Men</vt:lpstr>
      <vt:lpstr>FUT1_6_Appr_Tot</vt:lpstr>
      <vt:lpstr>FUT1_6_Appr_Women</vt:lpstr>
      <vt:lpstr>FUT1_6_Educ_Men</vt:lpstr>
      <vt:lpstr>FUT1_6_Educ_Tot</vt:lpstr>
      <vt:lpstr>FUT1_6_Educ_Women</vt:lpstr>
      <vt:lpstr>FUT1_6_Emp_Men</vt:lpstr>
      <vt:lpstr>FUT1_6_Emp_Tot</vt:lpstr>
      <vt:lpstr>FUT1_6_Emp_Women</vt:lpstr>
      <vt:lpstr>FUT1_6_Tot_Men</vt:lpstr>
      <vt:lpstr>FUT1_6_Tot_Tot</vt:lpstr>
      <vt:lpstr>FUT1_6_Tot_Women</vt:lpstr>
      <vt:lpstr>FUT1_6_Train_Men</vt:lpstr>
      <vt:lpstr>FUT1_6_Train_Tot</vt:lpstr>
      <vt:lpstr>FUT1_6_Train_Women</vt:lpstr>
      <vt:lpstr>FUT2_12_Appr_Men</vt:lpstr>
      <vt:lpstr>FUT2_12_Appr_Tot</vt:lpstr>
      <vt:lpstr>FUT2_12_Appr_Women</vt:lpstr>
      <vt:lpstr>FUT2_12_Educ_Men</vt:lpstr>
      <vt:lpstr>FUT2_12_Educ_Tot</vt:lpstr>
      <vt:lpstr>FUT2_12_Educ_Women</vt:lpstr>
      <vt:lpstr>FUT2_12_Emp_Men</vt:lpstr>
      <vt:lpstr>FUT2_12_Emp_Tot</vt:lpstr>
      <vt:lpstr>FUT2_12_Emp_Women</vt:lpstr>
      <vt:lpstr>FUT2_12_Tot_Men</vt:lpstr>
      <vt:lpstr>FUT2_12_Tot_Tot</vt:lpstr>
      <vt:lpstr>FUT2_12_Tot_Women</vt:lpstr>
      <vt:lpstr>FUT2_12_Train_Men</vt:lpstr>
      <vt:lpstr>FUT2_12_Train_Tot</vt:lpstr>
      <vt:lpstr>FUT2_12_Train_Women</vt:lpstr>
      <vt:lpstr>FUT2_18_Appr_Men</vt:lpstr>
      <vt:lpstr>FUT2_18_Appr_Tot</vt:lpstr>
      <vt:lpstr>FUT2_18_Appr_Women</vt:lpstr>
      <vt:lpstr>FUT2_18_Educ_Men</vt:lpstr>
      <vt:lpstr>FUT2_18_Educ_Tot</vt:lpstr>
      <vt:lpstr>FUT2_18_Educ_Women</vt:lpstr>
      <vt:lpstr>FUT2_18_Emp_Men</vt:lpstr>
      <vt:lpstr>FUT2_18_Emp_Tot</vt:lpstr>
      <vt:lpstr>FUT2_18_Emp_Women</vt:lpstr>
      <vt:lpstr>FUT2_18_Tot_Men</vt:lpstr>
      <vt:lpstr>FUT2_18_Tot_Tot</vt:lpstr>
      <vt:lpstr>FUT2_18_Tot_Women</vt:lpstr>
      <vt:lpstr>FUT2_18_Train_Men</vt:lpstr>
      <vt:lpstr>FUT2_18_Train_Tot</vt:lpstr>
      <vt:lpstr>FUT2_18_Train_Women</vt:lpstr>
      <vt:lpstr>FUT2_6_Appr_Men</vt:lpstr>
      <vt:lpstr>FUT2_6_Appr_Tot</vt:lpstr>
      <vt:lpstr>FUT2_6_Appr_Women</vt:lpstr>
      <vt:lpstr>FUT2_6_Educ_Men</vt:lpstr>
      <vt:lpstr>FUT2_6_Educ_Tot</vt:lpstr>
      <vt:lpstr>FUT2_6_Educ_Women</vt:lpstr>
      <vt:lpstr>FUT2_6_Emp_Men</vt:lpstr>
      <vt:lpstr>FUT2_6_Emp_Tot</vt:lpstr>
      <vt:lpstr>FUT2_6_Emp_Women</vt:lpstr>
      <vt:lpstr>FUT2_6_Tot_Men</vt:lpstr>
      <vt:lpstr>FUT2_6_Tot_Tot</vt:lpstr>
      <vt:lpstr>FUT2_6_Tot_Women</vt:lpstr>
      <vt:lpstr>FUT2_6_Train_Men</vt:lpstr>
      <vt:lpstr>FUT2_6_Train_Tot</vt:lpstr>
      <vt:lpstr>FUT2_6_Train_Women</vt:lpstr>
      <vt:lpstr>Metadata_Q1</vt:lpstr>
      <vt:lpstr>Metadata_Q2i</vt:lpstr>
      <vt:lpstr>Metadata_Q2ii</vt:lpstr>
      <vt:lpstr>Metadata_Q2iii</vt:lpstr>
      <vt:lpstr>Metadata_Q3i</vt:lpstr>
      <vt:lpstr>Metadata_Q3ii</vt:lpstr>
      <vt:lpstr>Metadata_Q4ia</vt:lpstr>
      <vt:lpstr>Metadata_Q4ib</vt:lpstr>
      <vt:lpstr>Metadata_Q4ic</vt:lpstr>
      <vt:lpstr>Metadata_Q4iia</vt:lpstr>
      <vt:lpstr>Metadata_Q4iib</vt:lpstr>
      <vt:lpstr>Metadata_Q4iic</vt:lpstr>
      <vt:lpstr>Metadata_Q4iiia</vt:lpstr>
      <vt:lpstr>Metadata_Q4iiib</vt:lpstr>
      <vt:lpstr>Metadata_Q4iiic</vt:lpstr>
      <vt:lpstr>Metadata_Q4iva</vt:lpstr>
      <vt:lpstr>Metadata_Q4ivb</vt:lpstr>
      <vt:lpstr>Metadata_Q4ivc</vt:lpstr>
      <vt:lpstr>Metadata_Q5</vt:lpstr>
      <vt:lpstr>Metadata_Q6i</vt:lpstr>
      <vt:lpstr>Metadata_Q6ii</vt:lpstr>
      <vt:lpstr>Metadata_Q6iii</vt:lpstr>
      <vt:lpstr>Metadata_Q6iiia</vt:lpstr>
      <vt:lpstr>Metadata_Q6iiib</vt:lpstr>
      <vt:lpstr>Metadata_Q6iiic</vt:lpstr>
      <vt:lpstr>Metadata_Q6iv</vt:lpstr>
      <vt:lpstr>Metadata_Q6v</vt:lpstr>
      <vt:lpstr>Metadata_Q6vi</vt:lpstr>
      <vt:lpstr>Metadata_Q6via</vt:lpstr>
      <vt:lpstr>Metadata_Q6vib</vt:lpstr>
      <vt:lpstr>Metadata_Q6vii</vt:lpstr>
      <vt:lpstr>Metadata_Q7</vt:lpstr>
      <vt:lpstr>Metadata_T1</vt:lpstr>
      <vt:lpstr>Months</vt:lpstr>
      <vt:lpstr>Definitions!Print_Area</vt:lpstr>
      <vt:lpstr>Indicators!Print_Area</vt:lpstr>
      <vt:lpstr>Metadata!Print_Area</vt:lpstr>
      <vt:lpstr>Stocks!Print_Area</vt:lpstr>
      <vt:lpstr>'Stocks 2024 EY estimated'!Print_Area</vt:lpstr>
      <vt:lpstr>RefYear_FUT</vt:lpstr>
      <vt:lpstr>RefYear_FUT_1</vt:lpstr>
      <vt:lpstr>RefYear_FUT_2</vt:lpstr>
      <vt:lpstr>RefYear_Main</vt:lpstr>
      <vt:lpstr>'Stocks 2024 EY estimated'!Stock_Men</vt:lpstr>
      <vt:lpstr>Stock_Men</vt:lpstr>
      <vt:lpstr>'Stocks 2024 EY estimated'!Stock_Total</vt:lpstr>
      <vt:lpstr>Stock_Total</vt:lpstr>
      <vt:lpstr>'Stocks 2024 EY estimated'!Stock_Women</vt:lpstr>
      <vt:lpstr>Stock_Women</vt:lpstr>
      <vt:lpstr>Years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 Fuller</dc:creator>
  <cp:lastModifiedBy>Carla Bros Sabria</cp:lastModifiedBy>
  <cp:lastPrinted>2016-02-19T15:32:15Z</cp:lastPrinted>
  <dcterms:created xsi:type="dcterms:W3CDTF">2014-08-06T13:17:09Z</dcterms:created>
  <dcterms:modified xsi:type="dcterms:W3CDTF">2026-08-18T09:14:50Z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0x010100643844CC5533834AB3380C8FF04E96E7</vt:lpwstr>
  </property>
  <property fmtid="{D5CDD505-2E9C-101B-9397-08002B2CF9AE}" pid="4" name="MediaServiceImageTags">
    <vt:lpwstr/>
  </property>
</Properties>
</file>